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/>
  </bookViews>
  <sheets>
    <sheet name="Ceny" sheetId="1" r:id="rId1"/>
    <sheet name="Kalkulator" sheetId="5" r:id="rId2"/>
  </sheets>
  <calcPr calcId="125725"/>
</workbook>
</file>

<file path=xl/calcChain.xml><?xml version="1.0" encoding="utf-8"?>
<calcChain xmlns="http://schemas.openxmlformats.org/spreadsheetml/2006/main">
  <c r="H13" i="1"/>
  <c r="G13"/>
  <c r="J13" s="1"/>
  <c r="H12"/>
  <c r="G12"/>
  <c r="J12" s="1"/>
  <c r="H11"/>
  <c r="G11"/>
  <c r="H10"/>
  <c r="G10"/>
  <c r="J10" s="1"/>
  <c r="J48"/>
  <c r="I48"/>
  <c r="J47"/>
  <c r="I47"/>
  <c r="J46"/>
  <c r="I46"/>
  <c r="J45"/>
  <c r="I45"/>
  <c r="J55"/>
  <c r="I55"/>
  <c r="J54"/>
  <c r="I54"/>
  <c r="J53"/>
  <c r="I53"/>
  <c r="J34"/>
  <c r="I34"/>
  <c r="J33"/>
  <c r="I33"/>
  <c r="J32"/>
  <c r="I32"/>
  <c r="J27"/>
  <c r="I27"/>
  <c r="J26"/>
  <c r="I26"/>
  <c r="J25"/>
  <c r="I25"/>
  <c r="J20"/>
  <c r="I20"/>
  <c r="J19"/>
  <c r="I19"/>
  <c r="J18"/>
  <c r="I18"/>
  <c r="I10"/>
  <c r="J11" l="1"/>
  <c r="I12"/>
  <c r="I13"/>
  <c r="I11"/>
  <c r="H39"/>
  <c r="H40"/>
  <c r="H41"/>
  <c r="G41"/>
  <c r="G40"/>
  <c r="G39"/>
  <c r="H55"/>
  <c r="G55"/>
  <c r="H54"/>
  <c r="G54"/>
  <c r="H53"/>
  <c r="G53"/>
  <c r="H48"/>
  <c r="G48"/>
  <c r="H47"/>
  <c r="G47"/>
  <c r="H46"/>
  <c r="G46"/>
  <c r="H45"/>
  <c r="G45"/>
  <c r="H34"/>
  <c r="G34"/>
  <c r="H33"/>
  <c r="G33"/>
  <c r="H32"/>
  <c r="G32"/>
  <c r="H27"/>
  <c r="G27"/>
  <c r="H26"/>
  <c r="G26"/>
  <c r="H25"/>
  <c r="G25"/>
  <c r="H20"/>
  <c r="G20"/>
  <c r="H19"/>
  <c r="G19"/>
  <c r="H18"/>
  <c r="G18"/>
  <c r="I41" l="1"/>
  <c r="J41"/>
  <c r="I40"/>
  <c r="J40"/>
  <c r="I39"/>
  <c r="J39"/>
  <c r="J3" i="5"/>
  <c r="C43"/>
  <c r="C27"/>
  <c r="K55" i="1" l="1"/>
  <c r="K54"/>
  <c r="K53"/>
  <c r="K48"/>
  <c r="K47"/>
  <c r="K46"/>
  <c r="K45"/>
  <c r="K34"/>
  <c r="K33"/>
  <c r="K32"/>
  <c r="K27"/>
  <c r="K26"/>
  <c r="K25"/>
  <c r="K20"/>
  <c r="K19"/>
  <c r="K18"/>
  <c r="K13"/>
  <c r="K12"/>
  <c r="K11"/>
  <c r="K10"/>
  <c r="K41" l="1"/>
  <c r="K40"/>
  <c r="K39"/>
  <c r="D5" i="5"/>
  <c r="J2"/>
  <c r="I20"/>
  <c r="I11"/>
  <c r="I21"/>
  <c r="D49" l="1"/>
  <c r="D51"/>
  <c r="E45"/>
  <c r="E51"/>
  <c r="F49"/>
  <c r="G51"/>
  <c r="D47"/>
  <c r="E47"/>
  <c r="E49"/>
  <c r="G49"/>
  <c r="F51"/>
  <c r="D48"/>
  <c r="G50"/>
  <c r="E48"/>
  <c r="F50"/>
  <c r="D52"/>
  <c r="G52"/>
  <c r="E52"/>
  <c r="D50"/>
  <c r="E46"/>
  <c r="D46"/>
  <c r="F52"/>
  <c r="E50"/>
  <c r="D30"/>
  <c r="D34"/>
  <c r="D36"/>
  <c r="E30"/>
  <c r="E34"/>
  <c r="E36"/>
  <c r="F36"/>
  <c r="D32"/>
  <c r="G34"/>
  <c r="E32"/>
  <c r="F34"/>
  <c r="G36"/>
  <c r="E33"/>
  <c r="D29"/>
  <c r="H30" s="1"/>
  <c r="D31"/>
  <c r="D33"/>
  <c r="D45"/>
  <c r="E35"/>
  <c r="F33"/>
  <c r="D35"/>
  <c r="F35"/>
  <c r="E29"/>
  <c r="G33"/>
  <c r="G35"/>
  <c r="E31"/>
  <c r="H50"/>
  <c r="I46"/>
  <c r="I50"/>
  <c r="H46"/>
  <c r="J46" l="1"/>
  <c r="K50"/>
  <c r="K46"/>
  <c r="J50"/>
  <c r="H34"/>
  <c r="I34"/>
  <c r="I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<sst xmlns="http://schemas.openxmlformats.org/spreadsheetml/2006/main" count="180" uniqueCount="79">
  <si>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</si>
  <si>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</si>
  <si>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</si>
  <si>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</si>
  <si>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</si>
  <si>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</si>
  <si>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</si>
  <si>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</si>
  <si>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</si>
  <si>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</si>
  <si>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</si>
  <si>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</si>
  <si>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</si>
  <si>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</si>
  <si>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</si>
  <si>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</si>
  <si>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</si>
  <si>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</si>
  <si>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</si>
  <si>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</si>
  <si>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</si>
  <si>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</si>
  <si>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</si>
  <si>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</si>
  <si>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</si>
  <si>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</si>
  <si>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</si>
  <si>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</si>
  <si>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</si>
  <si>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</si>
  <si>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</si>
  <si>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</si>
  <si>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</si>
  <si>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</si>
  <si>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</si>
  <si>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</si>
  <si>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</si>
  <si>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</si>
  <si>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</si>
  <si>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</si>
  <si>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</si>
  <si>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</si>
  <si>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</si>
  <si>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</si>
  <si>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</si>
  <si>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</si>
  <si>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</si>
  <si>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</si>
  <si>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</si>
  <si>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</si>
  <si>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</si>
  <si>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</si>
  <si>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</si>
  <si>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</si>
  <si>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</si>
  <si>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</si>
  <si>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</si>
  <si>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</si>
  <si>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</si>
  <si>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</si>
  <si>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</si>
  <si>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</si>
  <si>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Opłata stała źródeł</t>
  </si>
  <si>
    <t>Opłata zmienna źródeł</t>
  </si>
  <si>
    <t>Razem opłaty źródeł</t>
  </si>
  <si>
    <t>do 23-01-04</t>
  </si>
  <si>
    <t>Wybierz rodzaj ceny</t>
  </si>
  <si>
    <t>PAK-PCE BiW / MZGOK</t>
  </si>
  <si>
    <t>Suma opłat miesięcznych</t>
  </si>
  <si>
    <t>Suma opłat rocznych</t>
  </si>
  <si>
    <t>OPŁATY MIESIĘCZNE</t>
  </si>
  <si>
    <t>OPŁATY ROCZNE</t>
  </si>
  <si>
    <t>stawka VAT =</t>
  </si>
  <si>
    <t>do 23-06-30</t>
  </si>
  <si>
    <t>od 23-07-01</t>
  </si>
  <si>
    <t>Zmiana</t>
  </si>
  <si>
    <t>Zmiana cen energii PAK-PCE BiW Sp. z o.o. obowiązująca od dnia 01-10-2023</t>
  </si>
  <si>
    <t>do 30-09-23</t>
  </si>
  <si>
    <t>od 01-10-23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</si>
</sst>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9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  <font>
      <sz val="8"/>
      <color theme="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4" fontId="17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18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3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5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7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7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1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19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5" fillId="0" borderId="9" xfId="0" applyFont="1" applyFill="1" applyBorder="1"/>
    <xf numFmtId="0" fontId="21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7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0" fillId="0" borderId="0" xfId="0" applyFont="1" applyFill="1" applyBorder="1"/>
    <xf numFmtId="1" fontId="32" fillId="2" borderId="3" xfId="0" applyNumberFormat="1" applyFont="1" applyFill="1" applyBorder="1" applyAlignment="1">
      <alignment horizontal="center" vertical="center"/>
    </xf>
    <xf numFmtId="4" fontId="33" fillId="0" borderId="4" xfId="0" applyNumberFormat="1" applyFont="1" applyFill="1" applyBorder="1"/>
    <xf numFmtId="4" fontId="33" fillId="0" borderId="0" xfId="0" applyNumberFormat="1" applyFont="1" applyFill="1" applyBorder="1"/>
    <xf numFmtId="0" fontId="34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5" fillId="0" borderId="5" xfId="0" applyNumberFormat="1" applyFont="1" applyFill="1" applyBorder="1"/>
    <xf numFmtId="0" fontId="26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4" fillId="0" borderId="4" xfId="0" applyNumberFormat="1" applyFont="1" applyFill="1" applyBorder="1"/>
    <xf numFmtId="0" fontId="26" fillId="0" borderId="0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8" fillId="0" borderId="0" xfId="0" applyFont="1" applyFill="1" applyBorder="1" applyAlignment="1">
      <alignment horizontal="right"/>
    </xf>
    <xf numFmtId="166" fontId="28" fillId="0" borderId="0" xfId="0" applyNumberFormat="1" applyFont="1" applyFill="1" applyBorder="1" applyAlignment="1">
      <alignment horizontal="center"/>
    </xf>
    <xf numFmtId="0" fontId="28" fillId="0" borderId="0" xfId="0" applyFont="1" applyFill="1" applyBorder="1"/>
    <xf numFmtId="4" fontId="28" fillId="0" borderId="0" xfId="0" applyNumberFormat="1" applyFont="1" applyFill="1" applyBorder="1"/>
    <xf numFmtId="9" fontId="28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8" fillId="0" borderId="4" xfId="0" applyFont="1" applyFill="1" applyBorder="1" applyAlignment="1">
      <alignment horizontal="right"/>
    </xf>
    <xf numFmtId="4" fontId="19" fillId="0" borderId="4" xfId="0" applyNumberFormat="1" applyFont="1" applyFill="1" applyBorder="1"/>
    <xf numFmtId="166" fontId="20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36" fillId="0" borderId="0" xfId="0" applyFont="1"/>
    <xf numFmtId="0" fontId="36" fillId="0" borderId="0" xfId="0" applyFont="1" applyFill="1" applyBorder="1"/>
    <xf numFmtId="9" fontId="37" fillId="0" borderId="0" xfId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4" xfId="0" applyFont="1" applyFill="1" applyBorder="1" applyAlignment="1">
      <alignment horizontal="center"/>
    </xf>
    <xf numFmtId="0" fontId="37" fillId="0" borderId="0" xfId="0" applyFont="1" applyFill="1" applyBorder="1"/>
    <xf numFmtId="2" fontId="37" fillId="0" borderId="0" xfId="0" applyNumberFormat="1" applyFont="1" applyFill="1" applyBorder="1" applyAlignment="1">
      <alignment horizontal="right"/>
    </xf>
    <xf numFmtId="2" fontId="37" fillId="0" borderId="4" xfId="0" applyNumberFormat="1" applyFont="1" applyFill="1" applyBorder="1" applyAlignment="1">
      <alignment horizontal="right"/>
    </xf>
    <xf numFmtId="2" fontId="37" fillId="0" borderId="0" xfId="0" applyNumberFormat="1" applyFont="1" applyAlignment="1">
      <alignment horizontal="right"/>
    </xf>
    <xf numFmtId="0" fontId="37" fillId="0" borderId="4" xfId="0" applyFont="1" applyFill="1" applyBorder="1"/>
    <xf numFmtId="0" fontId="36" fillId="0" borderId="4" xfId="0" applyFont="1" applyFill="1" applyBorder="1"/>
    <xf numFmtId="0" fontId="38" fillId="0" borderId="0" xfId="0" applyFont="1" applyFill="1" applyBorder="1"/>
    <xf numFmtId="1" fontId="37" fillId="2" borderId="2" xfId="0" applyNumberFormat="1" applyFont="1" applyFill="1" applyBorder="1" applyAlignment="1">
      <alignment horizontal="left" vertical="center"/>
    </xf>
    <xf numFmtId="0" fontId="39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/>
    </xf>
    <xf numFmtId="0" fontId="37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7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5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0" fillId="0" borderId="0" xfId="0" applyNumberFormat="1" applyFont="1" applyFill="1" applyBorder="1" applyAlignment="1">
      <alignment horizontal="center"/>
    </xf>
    <xf numFmtId="4" fontId="41" fillId="4" borderId="5" xfId="0" applyNumberFormat="1" applyFont="1" applyFill="1" applyBorder="1"/>
    <xf numFmtId="4" fontId="34" fillId="0" borderId="0" xfId="0" applyNumberFormat="1" applyFont="1" applyFill="1" applyBorder="1"/>
    <xf numFmtId="4" fontId="42" fillId="4" borderId="0" xfId="0" applyNumberFormat="1" applyFont="1" applyFill="1" applyBorder="1"/>
    <xf numFmtId="167" fontId="37" fillId="0" borderId="0" xfId="1" applyNumberFormat="1" applyFont="1" applyFill="1" applyBorder="1" applyAlignment="1">
      <alignment horizontal="center"/>
    </xf>
    <xf numFmtId="166" fontId="37" fillId="0" borderId="0" xfId="1" applyNumberFormat="1" applyFont="1" applyFill="1" applyBorder="1" applyAlignment="1">
      <alignment horizontal="right"/>
    </xf>
    <xf numFmtId="4" fontId="44" fillId="0" borderId="5" xfId="0" applyNumberFormat="1" applyFont="1" applyFill="1" applyBorder="1"/>
    <xf numFmtId="4" fontId="43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7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19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19" fillId="0" borderId="4" xfId="1" applyNumberFormat="1" applyFont="1" applyFill="1" applyBorder="1" applyAlignment="1">
      <alignment horizontal="center"/>
    </xf>
    <xf numFmtId="4" fontId="41" fillId="0" borderId="5" xfId="0" applyNumberFormat="1" applyFont="1" applyFill="1" applyBorder="1"/>
    <xf numFmtId="4" fontId="43" fillId="0" borderId="5" xfId="0" applyNumberFormat="1" applyFont="1" applyFill="1" applyBorder="1"/>
    <xf numFmtId="4" fontId="37" fillId="0" borderId="5" xfId="0" applyNumberFormat="1" applyFont="1" applyFill="1" applyBorder="1"/>
    <xf numFmtId="4" fontId="45" fillId="0" borderId="5" xfId="0" applyNumberFormat="1" applyFont="1" applyFill="1" applyBorder="1"/>
    <xf numFmtId="166" fontId="47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right" vertical="center"/>
    </xf>
    <xf numFmtId="49" fontId="0" fillId="0" borderId="0" xfId="0" applyNumberFormat="1"/>
    <xf numFmtId="9" fontId="10" fillId="0" borderId="0" xfId="1" applyFont="1" applyFill="1" applyBorder="1" applyAlignment="1">
      <alignment horizontal="right" vertical="top"/>
    </xf>
    <xf numFmtId="9" fontId="10" fillId="0" borderId="0" xfId="1" applyFont="1" applyFill="1" applyBorder="1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Font="1"/>
    <xf numFmtId="0" fontId="9" fillId="0" borderId="0" xfId="0" applyFont="1" applyFill="1" applyBorder="1"/>
    <xf numFmtId="0" fontId="9" fillId="0" borderId="4" xfId="0" applyFont="1" applyFill="1" applyBorder="1"/>
    <xf numFmtId="0" fontId="0" fillId="0" borderId="7" xfId="0" applyFont="1" applyFill="1" applyBorder="1"/>
    <xf numFmtId="0" fontId="0" fillId="0" borderId="0" xfId="0" applyFont="1" applyFill="1"/>
    <xf numFmtId="0" fontId="6" fillId="0" borderId="0" xfId="0" applyFont="1"/>
    <xf numFmtId="14" fontId="37" fillId="0" borderId="0" xfId="0" applyNumberFormat="1" applyFont="1" applyFill="1" applyBorder="1" applyAlignment="1">
      <alignment horizontal="center"/>
    </xf>
    <xf numFmtId="4" fontId="48" fillId="0" borderId="5" xfId="0" applyNumberFormat="1" applyFont="1" applyFill="1" applyBorder="1"/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71"/>
          <c:y val="0.20588235294117646"/>
          <c:w val="0.24539950812256794"/>
          <c:h val="0.588235294117636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21" r="0.7500000000000092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79"/>
          <c:h val="0.58823529411763686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3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21" r="0.7500000000000092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76"/>
          <c:y val="0.20588235294117646"/>
          <c:w val="0.24539950812256794"/>
          <c:h val="0.5882352941176365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2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0.66717924457953559</c:v>
                </c:pt>
                <c:pt idx="1">
                  <c:v>0.33282075542046441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44" r="0.750000000000009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93"/>
          <c:h val="0.58823529411763653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33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0.33382075542046441</c:v>
                </c:pt>
                <c:pt idx="1">
                  <c:v>0.66617924457953559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944" r="0.75000000000000944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jpe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333353</xdr:colOff>
      <xdr:row>4</xdr:row>
      <xdr:rowOff>84829</xdr:rowOff>
    </xdr:from>
    <xdr:to>
      <xdr:col>10</xdr:col>
      <xdr:colOff>26866</xdr:colOff>
      <xdr:row>6</xdr:row>
      <xdr:rowOff>164771</xdr:rowOff>
    </xdr:to>
    <xdr:pic>
      <xdr:nvPicPr>
        <xdr:cNvPr id="7" name="Obraz 6" descr="mzgokb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62628" y="865879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507831</xdr:colOff>
      <xdr:row>4</xdr:row>
      <xdr:rowOff>75198</xdr:rowOff>
    </xdr:from>
    <xdr:to>
      <xdr:col>9</xdr:col>
      <xdr:colOff>332303</xdr:colOff>
      <xdr:row>6</xdr:row>
      <xdr:rowOff>125329</xdr:rowOff>
    </xdr:to>
    <xdr:pic>
      <xdr:nvPicPr>
        <xdr:cNvPr id="9" name="Obraz 8" descr="zepak-logo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9273" b="10741"/>
        <a:stretch>
          <a:fillRect/>
        </a:stretch>
      </xdr:blipFill>
      <xdr:spPr>
        <a:xfrm>
          <a:off x="5489406" y="856248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449819</xdr:colOff>
      <xdr:row>42</xdr:row>
      <xdr:rowOff>152400</xdr:rowOff>
    </xdr:from>
    <xdr:to>
      <xdr:col>8</xdr:col>
      <xdr:colOff>195575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449819</xdr:colOff>
      <xdr:row>46</xdr:row>
      <xdr:rowOff>152400</xdr:rowOff>
    </xdr:from>
    <xdr:to>
      <xdr:col>8</xdr:col>
      <xdr:colOff>205100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449819</xdr:colOff>
      <xdr:row>27</xdr:row>
      <xdr:rowOff>0</xdr:rowOff>
    </xdr:from>
    <xdr:to>
      <xdr:col>8</xdr:col>
      <xdr:colOff>195575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449819</xdr:colOff>
      <xdr:row>31</xdr:row>
      <xdr:rowOff>0</xdr:rowOff>
    </xdr:from>
    <xdr:to>
      <xdr:col>8</xdr:col>
      <xdr:colOff>205100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</xdr:col>
      <xdr:colOff>385333</xdr:colOff>
      <xdr:row>32</xdr:row>
      <xdr:rowOff>13609</xdr:rowOff>
    </xdr:from>
    <xdr:to>
      <xdr:col>5</xdr:col>
      <xdr:colOff>375882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400237" y="5435532"/>
          <a:ext cx="1148203" cy="269016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384516</xdr:colOff>
      <xdr:row>48</xdr:row>
      <xdr:rowOff>14791</xdr:rowOff>
    </xdr:from>
    <xdr:to>
      <xdr:col>5</xdr:col>
      <xdr:colOff>375065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399420" y="8081733"/>
          <a:ext cx="1148203" cy="269017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519205</xdr:colOff>
      <xdr:row>27</xdr:row>
      <xdr:rowOff>141010</xdr:rowOff>
    </xdr:from>
    <xdr:to>
      <xdr:col>5</xdr:col>
      <xdr:colOff>276766</xdr:colOff>
      <xdr:row>30</xdr:row>
      <xdr:rowOff>52129</xdr:rowOff>
    </xdr:to>
    <xdr:pic>
      <xdr:nvPicPr>
        <xdr:cNvPr id="13" name="Obraz 12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1688" y="4837820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45983</xdr:colOff>
      <xdr:row>27</xdr:row>
      <xdr:rowOff>131379</xdr:rowOff>
    </xdr:from>
    <xdr:to>
      <xdr:col>4</xdr:col>
      <xdr:colOff>518155</xdr:colOff>
      <xdr:row>30</xdr:row>
      <xdr:rowOff>12687</xdr:rowOff>
    </xdr:to>
    <xdr:pic>
      <xdr:nvPicPr>
        <xdr:cNvPr id="14" name="Obraz 13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8466" y="4828189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513949</xdr:colOff>
      <xdr:row>43</xdr:row>
      <xdr:rowOff>129199</xdr:rowOff>
    </xdr:from>
    <xdr:to>
      <xdr:col>5</xdr:col>
      <xdr:colOff>271510</xdr:colOff>
      <xdr:row>46</xdr:row>
      <xdr:rowOff>40318</xdr:rowOff>
    </xdr:to>
    <xdr:pic>
      <xdr:nvPicPr>
        <xdr:cNvPr id="18" name="Obraz 17" descr="mzgokbig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36432" y="7519285"/>
          <a:ext cx="407888" cy="403792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40727</xdr:colOff>
      <xdr:row>43</xdr:row>
      <xdr:rowOff>119568</xdr:rowOff>
    </xdr:from>
    <xdr:to>
      <xdr:col>4</xdr:col>
      <xdr:colOff>512899</xdr:colOff>
      <xdr:row>46</xdr:row>
      <xdr:rowOff>876</xdr:rowOff>
    </xdr:to>
    <xdr:pic>
      <xdr:nvPicPr>
        <xdr:cNvPr id="19" name="Obraz 18" descr="zepak-logo.pn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t="9273" b="10741"/>
        <a:stretch>
          <a:fillRect/>
        </a:stretch>
      </xdr:blipFill>
      <xdr:spPr>
        <a:xfrm>
          <a:off x="2563210" y="7509654"/>
          <a:ext cx="472172" cy="373981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K57"/>
  <sheetViews>
    <sheetView showGridLines="0" tabSelected="1" zoomScaleNormal="10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1" ht="12.75" customHeight="1" thickTop="1">
      <c r="A1" s="128"/>
      <c r="B1" s="129" t="s">
        <v>44</v>
      </c>
      <c r="C1" s="130" t="s">
        <v>48</v>
      </c>
      <c r="D1" s="131"/>
      <c r="E1" s="131"/>
      <c r="F1" s="131"/>
      <c r="G1" s="131"/>
      <c r="H1" s="131"/>
      <c r="I1" s="131"/>
      <c r="J1" s="131"/>
      <c r="K1" s="132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v>45200</v>
      </c>
      <c r="K2" s="66"/>
    </row>
    <row r="3" spans="1:11" ht="18" customHeight="1">
      <c r="A3" s="72"/>
      <c r="B3" s="46"/>
      <c r="C3" s="49" t="s">
        <v>36</v>
      </c>
      <c r="D3" s="47"/>
      <c r="E3" s="47"/>
      <c r="F3" s="47"/>
      <c r="G3" s="47"/>
      <c r="H3" s="47"/>
      <c r="I3" s="47"/>
      <c r="J3" s="78"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">
        <v>76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D6" s="136"/>
      <c r="E6" s="40" t="s">
        <v>48</v>
      </c>
      <c r="G6" s="5" t="s">
        <v>72</v>
      </c>
      <c r="H6" s="155">
        <v>0.23</v>
      </c>
      <c r="I6" s="4"/>
      <c r="J6" s="4"/>
      <c r="K6" s="66"/>
    </row>
    <row r="7" spans="1:11" ht="18" customHeight="1">
      <c r="A7" s="72"/>
      <c r="B7" s="75" t="s">
        <v>17</v>
      </c>
      <c r="C7" s="76" t="s">
        <v>67</v>
      </c>
      <c r="D7" s="41"/>
      <c r="E7" s="152"/>
      <c r="G7" s="154"/>
      <c r="H7" s="155"/>
      <c r="I7" s="77"/>
      <c r="J7" s="77"/>
      <c r="K7" s="66"/>
    </row>
    <row r="8" spans="1:11" ht="12.75" customHeight="1">
      <c r="A8" s="72"/>
      <c r="B8" s="46"/>
      <c r="C8" s="47"/>
      <c r="D8" s="47"/>
      <c r="E8" s="47" t="s">
        <v>2</v>
      </c>
      <c r="F8" s="47"/>
      <c r="G8" s="82" t="s">
        <v>3</v>
      </c>
      <c r="H8" s="47"/>
      <c r="I8" s="47"/>
      <c r="J8" s="48"/>
      <c r="K8" s="66"/>
    </row>
    <row r="9" spans="1:11" ht="12.75" customHeight="1">
      <c r="A9" s="72"/>
      <c r="B9" s="8" t="s">
        <v>0</v>
      </c>
      <c r="C9" s="9" t="s">
        <v>12</v>
      </c>
      <c r="D9" s="8" t="s">
        <v>1</v>
      </c>
      <c r="E9" s="133" t="s">
        <v>77</v>
      </c>
      <c r="F9" s="39" t="s">
        <v>78</v>
      </c>
      <c r="G9" s="133" t="s">
        <v>77</v>
      </c>
      <c r="H9" s="39" t="s">
        <v>78</v>
      </c>
      <c r="I9" s="13" t="s">
        <v>75</v>
      </c>
      <c r="J9" s="13" t="s">
        <v>38</v>
      </c>
      <c r="K9" s="66"/>
    </row>
    <row r="10" spans="1:11" ht="12.75" customHeight="1">
      <c r="A10" s="72"/>
      <c r="B10" s="6">
        <v>1</v>
      </c>
      <c r="C10" s="4" t="s">
        <v>10</v>
      </c>
      <c r="D10" s="13" t="s">
        <v>5</v>
      </c>
      <c r="E10" s="83">
        <v>201961.36</v>
      </c>
      <c r="F10" s="134">
        <v>201675.79</v>
      </c>
      <c r="G10" s="139">
        <f t="shared" ref="G10:H13" si="0">E10*(1+$H$6)</f>
        <v>248412.47279999999</v>
      </c>
      <c r="H10" s="140">
        <f t="shared" si="0"/>
        <v>248061.22169999999</v>
      </c>
      <c r="I10" s="141">
        <f t="shared" ref="I10" si="1">IF(G10&gt;0,H10/G10-1,"")</f>
        <v>-1.4139833481018327E-3</v>
      </c>
      <c r="J10" s="126">
        <f t="shared" ref="J10" si="2">IF(G10&gt;0,H10-G10,"")</f>
        <v>-351.25109999999404</v>
      </c>
      <c r="K10" s="125" t="str">
        <f>IF(H10&lt;&gt;G10,"þ"," ")</f>
        <v>þ</v>
      </c>
    </row>
    <row r="11" spans="1:11" ht="12.75" customHeight="1">
      <c r="A11" s="72"/>
      <c r="B11" s="6"/>
      <c r="C11" s="4"/>
      <c r="D11" s="13" t="s">
        <v>6</v>
      </c>
      <c r="E11" s="83">
        <v>16830.11</v>
      </c>
      <c r="F11" s="134">
        <v>16806.32</v>
      </c>
      <c r="G11" s="139">
        <f t="shared" si="0"/>
        <v>20701.0353</v>
      </c>
      <c r="H11" s="140">
        <f t="shared" si="0"/>
        <v>20671.7736</v>
      </c>
      <c r="I11" s="141">
        <f t="shared" ref="I11:I13" si="3">IF(G11&gt;0,H11/G11-1,"")</f>
        <v>-1.4135379982661567E-3</v>
      </c>
      <c r="J11" s="126">
        <f t="shared" ref="J11:J13" si="4">IF(G11&gt;0,H11-G11,"")</f>
        <v>-29.261699999999109</v>
      </c>
      <c r="K11" s="125" t="str">
        <f>IF(H11&lt;&gt;G11,"þ"," ")</f>
        <v>þ</v>
      </c>
    </row>
    <row r="12" spans="1:11" ht="12.75" customHeight="1">
      <c r="A12" s="72"/>
      <c r="B12" s="6">
        <v>2</v>
      </c>
      <c r="C12" s="4" t="s">
        <v>11</v>
      </c>
      <c r="D12" s="13" t="s">
        <v>7</v>
      </c>
      <c r="E12" s="83">
        <v>48.92</v>
      </c>
      <c r="F12" s="134">
        <v>48.97</v>
      </c>
      <c r="G12" s="139">
        <f t="shared" si="0"/>
        <v>60.171599999999998</v>
      </c>
      <c r="H12" s="140">
        <f t="shared" si="0"/>
        <v>60.2331</v>
      </c>
      <c r="I12" s="141">
        <f t="shared" si="3"/>
        <v>1.0220768601798547E-3</v>
      </c>
      <c r="J12" s="126">
        <f t="shared" si="4"/>
        <v>6.1500000000002331E-2</v>
      </c>
      <c r="K12" s="125" t="str">
        <f>IF(H12&lt;&gt;G12,"þ"," ")</f>
        <v>þ</v>
      </c>
    </row>
    <row r="13" spans="1:11" ht="12.75" customHeight="1">
      <c r="A13" s="72"/>
      <c r="B13" s="6">
        <v>3</v>
      </c>
      <c r="C13" s="4" t="s">
        <v>4</v>
      </c>
      <c r="D13" s="13" t="s">
        <v>8</v>
      </c>
      <c r="E13" s="83">
        <v>15</v>
      </c>
      <c r="F13" s="147">
        <v>15</v>
      </c>
      <c r="G13" s="139">
        <f t="shared" si="0"/>
        <v>18.45</v>
      </c>
      <c r="H13" s="148">
        <f t="shared" si="0"/>
        <v>18.45</v>
      </c>
      <c r="I13" s="142">
        <f t="shared" si="3"/>
        <v>0</v>
      </c>
      <c r="J13" s="138">
        <f t="shared" si="4"/>
        <v>0</v>
      </c>
      <c r="K13" s="125" t="str">
        <f>IF(H13&lt;&gt;G13,"þ"," ")</f>
        <v xml:space="preserve"> </v>
      </c>
    </row>
    <row r="14" spans="1:11" ht="12.75" customHeight="1">
      <c r="A14" s="72"/>
      <c r="B14" s="99" t="s">
        <v>49</v>
      </c>
      <c r="C14" s="4"/>
      <c r="D14" s="4"/>
      <c r="E14" s="4"/>
      <c r="F14" s="4"/>
      <c r="G14" s="4"/>
      <c r="H14" s="4"/>
      <c r="I14" s="4"/>
      <c r="J14" s="4"/>
      <c r="K14" s="66"/>
    </row>
    <row r="15" spans="1:11" ht="18" customHeight="1">
      <c r="A15" s="72"/>
      <c r="B15" s="75" t="s">
        <v>21</v>
      </c>
      <c r="C15" s="76" t="s">
        <v>16</v>
      </c>
      <c r="D15" s="76" t="s">
        <v>58</v>
      </c>
      <c r="E15" s="77"/>
      <c r="F15" s="77"/>
      <c r="G15" s="77"/>
      <c r="H15" s="77"/>
      <c r="I15" s="77"/>
      <c r="J15" s="77"/>
      <c r="K15" s="66"/>
    </row>
    <row r="16" spans="1:11" ht="12.75" customHeight="1">
      <c r="A16" s="72"/>
      <c r="B16" s="46"/>
      <c r="C16" s="47"/>
      <c r="D16" s="47"/>
      <c r="E16" s="47" t="s">
        <v>2</v>
      </c>
      <c r="F16" s="47"/>
      <c r="G16" s="82" t="s">
        <v>3</v>
      </c>
      <c r="H16" s="47"/>
      <c r="I16" s="47"/>
      <c r="J16" s="48"/>
      <c r="K16" s="66"/>
    </row>
    <row r="17" spans="1:11" ht="12.75" customHeight="1">
      <c r="A17" s="72"/>
      <c r="B17" s="8"/>
      <c r="C17" s="9"/>
      <c r="D17" s="8"/>
      <c r="E17" s="163" t="s">
        <v>65</v>
      </c>
      <c r="F17" s="39" t="s">
        <v>78</v>
      </c>
      <c r="G17" s="163" t="s">
        <v>73</v>
      </c>
      <c r="H17" s="39" t="s">
        <v>78</v>
      </c>
      <c r="I17" s="110" t="s">
        <v>75</v>
      </c>
      <c r="J17" s="138" t="s">
        <v>38</v>
      </c>
      <c r="K17" s="125"/>
    </row>
    <row r="18" spans="1:11" ht="12.75" customHeight="1">
      <c r="A18" s="72"/>
      <c r="B18" s="6">
        <v>1</v>
      </c>
      <c r="C18" s="4" t="s">
        <v>13</v>
      </c>
      <c r="D18" s="13" t="s">
        <v>5</v>
      </c>
      <c r="E18" s="164">
        <v>103928.73</v>
      </c>
      <c r="F18" s="147">
        <v>103928.73</v>
      </c>
      <c r="G18" s="150">
        <f t="shared" ref="G18:G20" si="5">E18*(1+$H$6)</f>
        <v>127832.3379</v>
      </c>
      <c r="H18" s="148">
        <f t="shared" ref="H18:H20" si="6">F18*(1+$H$6)</f>
        <v>127832.3379</v>
      </c>
      <c r="I18" s="142">
        <f t="shared" ref="I18:I20" si="7">IF(G18&gt;0,H18/G18-1,"")</f>
        <v>0</v>
      </c>
      <c r="J18" s="138">
        <f t="shared" ref="J18:J20" si="8">IF(G18&gt;0,H18-G18,"")</f>
        <v>0</v>
      </c>
      <c r="K18" s="125" t="str">
        <f>IF(H18&lt;&gt;G18,"þ"," ")</f>
        <v xml:space="preserve"> </v>
      </c>
    </row>
    <row r="19" spans="1:11" ht="12.75" customHeight="1">
      <c r="A19" s="72"/>
      <c r="B19" s="6"/>
      <c r="C19" s="4"/>
      <c r="D19" s="13" t="s">
        <v>6</v>
      </c>
      <c r="E19" s="164">
        <v>8660.73</v>
      </c>
      <c r="F19" s="147">
        <v>8660.73</v>
      </c>
      <c r="G19" s="150">
        <f t="shared" si="5"/>
        <v>10652.697899999999</v>
      </c>
      <c r="H19" s="148">
        <f t="shared" si="6"/>
        <v>10652.697899999999</v>
      </c>
      <c r="I19" s="142">
        <f t="shared" si="7"/>
        <v>0</v>
      </c>
      <c r="J19" s="138">
        <f t="shared" si="8"/>
        <v>0</v>
      </c>
      <c r="K19" s="125" t="str">
        <f>IF(H19&lt;&gt;G19,"þ"," ")</f>
        <v xml:space="preserve"> </v>
      </c>
    </row>
    <row r="20" spans="1:11" ht="12.75" customHeight="1">
      <c r="A20" s="72"/>
      <c r="B20" s="6">
        <v>2</v>
      </c>
      <c r="C20" s="4" t="s">
        <v>14</v>
      </c>
      <c r="D20" s="13" t="s">
        <v>7</v>
      </c>
      <c r="E20" s="164">
        <v>22.32</v>
      </c>
      <c r="F20" s="147">
        <v>22.32</v>
      </c>
      <c r="G20" s="150">
        <f t="shared" si="5"/>
        <v>27.453600000000002</v>
      </c>
      <c r="H20" s="148">
        <f t="shared" si="6"/>
        <v>27.453600000000002</v>
      </c>
      <c r="I20" s="142">
        <f t="shared" si="7"/>
        <v>0</v>
      </c>
      <c r="J20" s="138">
        <f t="shared" si="8"/>
        <v>0</v>
      </c>
      <c r="K20" s="125" t="str">
        <f>IF(H20&lt;&gt;G20,"þ"," ")</f>
        <v xml:space="preserve"> </v>
      </c>
    </row>
    <row r="21" spans="1:11" ht="12.75" customHeight="1">
      <c r="A21" s="72"/>
      <c r="I21" s="137"/>
      <c r="J21" s="138"/>
      <c r="K21" s="125"/>
    </row>
    <row r="22" spans="1:11" ht="18" customHeight="1">
      <c r="A22" s="72"/>
      <c r="B22" s="75" t="s">
        <v>22</v>
      </c>
      <c r="C22" s="76" t="s">
        <v>16</v>
      </c>
      <c r="D22" s="76" t="s">
        <v>59</v>
      </c>
      <c r="E22" s="77"/>
      <c r="F22" s="77"/>
      <c r="G22" s="77"/>
      <c r="H22" s="77"/>
      <c r="I22" s="77"/>
      <c r="J22" s="77"/>
      <c r="K22" s="66"/>
    </row>
    <row r="23" spans="1:11" ht="12.75" customHeight="1">
      <c r="A23" s="72"/>
      <c r="B23" s="46"/>
      <c r="C23" s="47"/>
      <c r="D23" s="47"/>
      <c r="E23" s="47" t="s">
        <v>2</v>
      </c>
      <c r="F23" s="47"/>
      <c r="G23" s="82" t="s">
        <v>3</v>
      </c>
      <c r="H23" s="47"/>
      <c r="I23" s="47"/>
      <c r="J23" s="48"/>
      <c r="K23" s="90"/>
    </row>
    <row r="24" spans="1:11" ht="12.75" customHeight="1">
      <c r="A24" s="89"/>
      <c r="E24" s="163" t="s">
        <v>65</v>
      </c>
      <c r="F24" s="39" t="s">
        <v>78</v>
      </c>
      <c r="G24" s="163" t="s">
        <v>73</v>
      </c>
      <c r="H24" s="39" t="s">
        <v>78</v>
      </c>
      <c r="I24" s="110" t="s">
        <v>75</v>
      </c>
      <c r="J24" s="138" t="s">
        <v>38</v>
      </c>
      <c r="K24" s="125"/>
    </row>
    <row r="25" spans="1:11" ht="12.75" customHeight="1">
      <c r="A25" s="89"/>
      <c r="B25" s="6">
        <v>1</v>
      </c>
      <c r="C25" s="4" t="s">
        <v>13</v>
      </c>
      <c r="D25" s="13" t="s">
        <v>5</v>
      </c>
      <c r="E25" s="164">
        <v>90233.98</v>
      </c>
      <c r="F25" s="147">
        <v>90233.98</v>
      </c>
      <c r="G25" s="150">
        <f t="shared" ref="G25:G27" si="9">E25*(1+$H$6)</f>
        <v>110987.79539999999</v>
      </c>
      <c r="H25" s="148">
        <f t="shared" ref="H25:H27" si="10">F25*(1+$H$6)</f>
        <v>110987.79539999999</v>
      </c>
      <c r="I25" s="142">
        <f t="shared" ref="I25:I27" si="11">IF(G25&gt;0,H25/G25-1,"")</f>
        <v>0</v>
      </c>
      <c r="J25" s="138">
        <f t="shared" ref="J25:J27" si="12">IF(G25&gt;0,H25-G25,"")</f>
        <v>0</v>
      </c>
      <c r="K25" s="125" t="str">
        <f>IF(H25&lt;&gt;G25,"þ"," ")</f>
        <v xml:space="preserve"> </v>
      </c>
    </row>
    <row r="26" spans="1:11" ht="12.75" customHeight="1">
      <c r="A26" s="72"/>
      <c r="B26" s="6"/>
      <c r="C26" s="4"/>
      <c r="D26" s="13" t="s">
        <v>6</v>
      </c>
      <c r="E26" s="164">
        <v>7519.5</v>
      </c>
      <c r="F26" s="147">
        <v>7519.5</v>
      </c>
      <c r="G26" s="150">
        <f t="shared" si="9"/>
        <v>9248.9850000000006</v>
      </c>
      <c r="H26" s="148">
        <f t="shared" si="10"/>
        <v>9248.9850000000006</v>
      </c>
      <c r="I26" s="142">
        <f t="shared" si="11"/>
        <v>0</v>
      </c>
      <c r="J26" s="138">
        <f t="shared" si="12"/>
        <v>0</v>
      </c>
      <c r="K26" s="125" t="str">
        <f>IF(H26&lt;&gt;G26,"þ"," ")</f>
        <v xml:space="preserve"> </v>
      </c>
    </row>
    <row r="27" spans="1:11" ht="12.75" customHeight="1">
      <c r="A27" s="72"/>
      <c r="B27" s="6">
        <v>2</v>
      </c>
      <c r="C27" s="4" t="s">
        <v>14</v>
      </c>
      <c r="D27" s="13" t="s">
        <v>7</v>
      </c>
      <c r="E27" s="164">
        <v>25.12</v>
      </c>
      <c r="F27" s="147">
        <v>25.12</v>
      </c>
      <c r="G27" s="150">
        <f t="shared" si="9"/>
        <v>30.897600000000001</v>
      </c>
      <c r="H27" s="148">
        <f t="shared" si="10"/>
        <v>30.897600000000001</v>
      </c>
      <c r="I27" s="142">
        <f t="shared" si="11"/>
        <v>0</v>
      </c>
      <c r="J27" s="138">
        <f t="shared" si="12"/>
        <v>0</v>
      </c>
      <c r="K27" s="125" t="str">
        <f>IF(H27&lt;&gt;G27,"þ"," ")</f>
        <v xml:space="preserve"> </v>
      </c>
    </row>
    <row r="28" spans="1:11" ht="12.75" customHeight="1">
      <c r="A28" s="72"/>
      <c r="K28" s="66"/>
    </row>
    <row r="29" spans="1:11" ht="18" customHeight="1">
      <c r="A29" s="72"/>
      <c r="B29" s="75" t="s">
        <v>23</v>
      </c>
      <c r="C29" s="76" t="s">
        <v>16</v>
      </c>
      <c r="D29" s="76" t="s">
        <v>60</v>
      </c>
      <c r="E29" s="77"/>
      <c r="F29" s="77"/>
      <c r="G29" s="77"/>
      <c r="H29" s="77"/>
      <c r="I29" s="77"/>
      <c r="J29" s="77"/>
      <c r="K29" s="66"/>
    </row>
    <row r="30" spans="1:11" ht="12.75" customHeight="1">
      <c r="A30" s="72"/>
      <c r="B30" s="46"/>
      <c r="C30" s="47"/>
      <c r="D30" s="47"/>
      <c r="E30" s="47"/>
      <c r="F30" s="47"/>
      <c r="G30" s="82" t="s">
        <v>3</v>
      </c>
      <c r="H30" s="47"/>
      <c r="I30" s="47"/>
      <c r="J30" s="48"/>
      <c r="K30" s="66"/>
    </row>
    <row r="31" spans="1:11" ht="12.75" customHeight="1">
      <c r="A31" s="72"/>
      <c r="B31" s="8"/>
      <c r="C31" s="9"/>
      <c r="D31" s="8"/>
      <c r="E31" s="163" t="s">
        <v>65</v>
      </c>
      <c r="F31" s="39" t="s">
        <v>78</v>
      </c>
      <c r="G31" s="163" t="s">
        <v>73</v>
      </c>
      <c r="H31" s="39" t="s">
        <v>78</v>
      </c>
      <c r="I31" s="110" t="s">
        <v>75</v>
      </c>
      <c r="J31" s="138" t="s">
        <v>38</v>
      </c>
      <c r="K31" s="125"/>
    </row>
    <row r="32" spans="1:11" ht="12.75" customHeight="1">
      <c r="A32" s="72"/>
      <c r="B32" s="6">
        <v>1</v>
      </c>
      <c r="C32" s="4" t="s">
        <v>13</v>
      </c>
      <c r="D32" s="13" t="s">
        <v>5</v>
      </c>
      <c r="E32" s="164">
        <v>103917.13</v>
      </c>
      <c r="F32" s="147">
        <v>103917.13</v>
      </c>
      <c r="G32" s="150">
        <f t="shared" ref="G32:G34" si="13">E32*(1+$H$6)</f>
        <v>127818.0699</v>
      </c>
      <c r="H32" s="148">
        <f t="shared" ref="H32:H34" si="14">F32*(1+$H$6)</f>
        <v>127818.0699</v>
      </c>
      <c r="I32" s="142">
        <f t="shared" ref="I32:I34" si="15">IF(G32&gt;0,H32/G32-1,"")</f>
        <v>0</v>
      </c>
      <c r="J32" s="138">
        <f t="shared" ref="J32:J34" si="16">IF(G32&gt;0,H32-G32,"")</f>
        <v>0</v>
      </c>
      <c r="K32" s="125" t="str">
        <f>IF(H32&lt;&gt;G32,"þ"," ")</f>
        <v xml:space="preserve"> </v>
      </c>
    </row>
    <row r="33" spans="1:11" ht="12.75" customHeight="1">
      <c r="A33" s="72"/>
      <c r="B33" s="6"/>
      <c r="C33" s="4"/>
      <c r="D33" s="13" t="s">
        <v>6</v>
      </c>
      <c r="E33" s="164">
        <v>8659.76</v>
      </c>
      <c r="F33" s="147">
        <v>8659.76</v>
      </c>
      <c r="G33" s="150">
        <f t="shared" si="13"/>
        <v>10651.504800000001</v>
      </c>
      <c r="H33" s="148">
        <f t="shared" si="14"/>
        <v>10651.504800000001</v>
      </c>
      <c r="I33" s="142">
        <f t="shared" si="15"/>
        <v>0</v>
      </c>
      <c r="J33" s="138">
        <f t="shared" si="16"/>
        <v>0</v>
      </c>
      <c r="K33" s="125" t="str">
        <f>IF(H33&lt;&gt;G33,"þ"," ")</f>
        <v xml:space="preserve"> </v>
      </c>
    </row>
    <row r="34" spans="1:11" ht="12.75" customHeight="1">
      <c r="A34" s="72"/>
      <c r="B34" s="6">
        <v>2</v>
      </c>
      <c r="C34" s="4" t="s">
        <v>14</v>
      </c>
      <c r="D34" s="13" t="s">
        <v>7</v>
      </c>
      <c r="E34" s="164">
        <v>21.94</v>
      </c>
      <c r="F34" s="147">
        <v>21.94</v>
      </c>
      <c r="G34" s="150">
        <f t="shared" si="13"/>
        <v>26.9862</v>
      </c>
      <c r="H34" s="148">
        <f t="shared" si="14"/>
        <v>26.9862</v>
      </c>
      <c r="I34" s="142">
        <f t="shared" si="15"/>
        <v>0</v>
      </c>
      <c r="J34" s="138">
        <f t="shared" si="16"/>
        <v>0</v>
      </c>
      <c r="K34" s="125" t="str">
        <f>IF(H34&lt;&gt;G34,"þ"," ")</f>
        <v xml:space="preserve"> </v>
      </c>
    </row>
    <row r="35" spans="1:11" ht="12.75" customHeight="1">
      <c r="A35" s="72"/>
      <c r="K35" s="66"/>
    </row>
    <row r="36" spans="1:11" ht="18" customHeight="1">
      <c r="A36" s="72"/>
      <c r="B36" s="75" t="s">
        <v>24</v>
      </c>
      <c r="C36" s="76" t="s">
        <v>25</v>
      </c>
      <c r="D36" s="76"/>
      <c r="E36" s="77"/>
      <c r="F36" s="77"/>
      <c r="G36" s="77"/>
      <c r="H36" s="77"/>
      <c r="I36" s="77"/>
      <c r="J36" s="77"/>
      <c r="K36" s="66"/>
    </row>
    <row r="37" spans="1:11" ht="12.75" customHeight="1">
      <c r="A37" s="72"/>
      <c r="B37" s="46"/>
      <c r="C37" s="47"/>
      <c r="D37" s="47"/>
      <c r="E37" s="47"/>
      <c r="F37" s="47"/>
      <c r="G37" s="82" t="s">
        <v>3</v>
      </c>
      <c r="H37" s="47"/>
      <c r="I37" s="47"/>
      <c r="J37" s="48"/>
      <c r="K37" s="66"/>
    </row>
    <row r="38" spans="1:11" ht="12.75" customHeight="1">
      <c r="A38" s="72"/>
      <c r="B38" s="6"/>
      <c r="C38" s="4"/>
      <c r="D38" s="4"/>
      <c r="E38" s="9"/>
      <c r="F38" s="6" t="s">
        <v>26</v>
      </c>
      <c r="G38" s="133" t="s">
        <v>77</v>
      </c>
      <c r="H38" s="39" t="s">
        <v>78</v>
      </c>
      <c r="I38" s="13" t="s">
        <v>75</v>
      </c>
      <c r="J38" s="126" t="s">
        <v>38</v>
      </c>
      <c r="K38" s="66"/>
    </row>
    <row r="39" spans="1:11" ht="12.75" customHeight="1">
      <c r="A39" s="72"/>
      <c r="B39" s="6">
        <v>1</v>
      </c>
      <c r="C39" s="4" t="s">
        <v>11</v>
      </c>
      <c r="D39" s="13" t="s">
        <v>7</v>
      </c>
      <c r="E39" s="9"/>
      <c r="F39" s="28" t="s">
        <v>15</v>
      </c>
      <c r="G39" s="139">
        <f>G12+G20</f>
        <v>87.625200000000007</v>
      </c>
      <c r="H39" s="140">
        <f>H12+H20</f>
        <v>87.686700000000002</v>
      </c>
      <c r="I39" s="141">
        <f t="shared" ref="I39:I41" si="17">IF(G39&gt;0,H39/G39-1,"")</f>
        <v>7.0185289163382514E-4</v>
      </c>
      <c r="J39" s="126">
        <f t="shared" ref="J39:J41" si="18">IF(G39&gt;0,H39-G39,"")</f>
        <v>6.1499999999995225E-2</v>
      </c>
      <c r="K39" s="125" t="str">
        <f>IF(H39&lt;&gt;G39,"þ"," ")</f>
        <v>þ</v>
      </c>
    </row>
    <row r="40" spans="1:11" ht="12.75" customHeight="1">
      <c r="A40" s="72"/>
      <c r="B40" s="6"/>
      <c r="C40" s="4"/>
      <c r="D40" s="4"/>
      <c r="E40" s="9"/>
      <c r="F40" s="28" t="s">
        <v>19</v>
      </c>
      <c r="G40" s="139">
        <f>G12+G27</f>
        <v>91.069199999999995</v>
      </c>
      <c r="H40" s="140">
        <f>H12+H27</f>
        <v>91.130700000000004</v>
      </c>
      <c r="I40" s="141">
        <f t="shared" si="17"/>
        <v>6.753106428958322E-4</v>
      </c>
      <c r="J40" s="126">
        <f t="shared" si="18"/>
        <v>6.1500000000009436E-2</v>
      </c>
      <c r="K40" s="125" t="str">
        <f>IF(H40&lt;&gt;G40,"þ"," ")</f>
        <v>þ</v>
      </c>
    </row>
    <row r="41" spans="1:11" ht="12.75" customHeight="1">
      <c r="A41" s="72"/>
      <c r="B41" s="99" t="s">
        <v>50</v>
      </c>
      <c r="E41" s="9"/>
      <c r="F41" s="28" t="s">
        <v>20</v>
      </c>
      <c r="G41" s="139">
        <f>G12+G34</f>
        <v>87.157799999999995</v>
      </c>
      <c r="H41" s="140">
        <f>H12+H34</f>
        <v>87.219300000000004</v>
      </c>
      <c r="I41" s="141">
        <f t="shared" si="17"/>
        <v>7.0561670900382012E-4</v>
      </c>
      <c r="J41" s="126">
        <f t="shared" si="18"/>
        <v>6.1500000000009436E-2</v>
      </c>
      <c r="K41" s="125" t="str">
        <f>IF(H41&lt;&gt;G41,"þ"," ")</f>
        <v>þ</v>
      </c>
    </row>
    <row r="42" spans="1:11" ht="18" customHeight="1">
      <c r="A42" s="72"/>
      <c r="B42" s="75" t="s">
        <v>51</v>
      </c>
      <c r="C42" s="76" t="s">
        <v>16</v>
      </c>
      <c r="D42" s="77"/>
      <c r="E42" s="77"/>
      <c r="F42" s="77"/>
      <c r="G42" s="77"/>
      <c r="H42" s="77"/>
      <c r="I42" s="77"/>
      <c r="J42" s="77"/>
      <c r="K42" s="66"/>
    </row>
    <row r="43" spans="1:11" ht="12.75" customHeight="1">
      <c r="A43" s="72"/>
      <c r="B43" s="46"/>
      <c r="C43" s="47"/>
      <c r="D43" s="47"/>
      <c r="E43" s="47" t="s">
        <v>2</v>
      </c>
      <c r="F43" s="47"/>
      <c r="G43" s="82" t="s">
        <v>3</v>
      </c>
      <c r="H43" s="47"/>
      <c r="I43" s="47"/>
      <c r="J43" s="48"/>
      <c r="K43" s="66"/>
    </row>
    <row r="44" spans="1:11" ht="12.75" customHeight="1">
      <c r="A44" s="72"/>
      <c r="B44" s="8" t="s">
        <v>0</v>
      </c>
      <c r="C44" s="9" t="s">
        <v>12</v>
      </c>
      <c r="D44" s="8" t="s">
        <v>1</v>
      </c>
      <c r="E44" s="163" t="s">
        <v>65</v>
      </c>
      <c r="F44" s="39" t="s">
        <v>74</v>
      </c>
      <c r="G44" s="163" t="s">
        <v>73</v>
      </c>
      <c r="H44" s="39" t="s">
        <v>74</v>
      </c>
      <c r="I44" s="110" t="s">
        <v>75</v>
      </c>
      <c r="J44" s="110" t="s">
        <v>38</v>
      </c>
      <c r="K44" s="66"/>
    </row>
    <row r="45" spans="1:11" ht="12.75" customHeight="1">
      <c r="A45" s="72"/>
      <c r="B45" s="6">
        <v>1</v>
      </c>
      <c r="C45" s="4" t="s">
        <v>10</v>
      </c>
      <c r="D45" s="13" t="s">
        <v>5</v>
      </c>
      <c r="E45" s="149">
        <v>349749.06</v>
      </c>
      <c r="F45" s="147">
        <v>349749.06</v>
      </c>
      <c r="G45" s="150">
        <f t="shared" ref="G45:G47" si="19">E45*(1+$H$6)</f>
        <v>430191.34379999997</v>
      </c>
      <c r="H45" s="148">
        <f t="shared" ref="H45:H47" si="20">F45*(1+$H$6)</f>
        <v>430191.34379999997</v>
      </c>
      <c r="I45" s="142">
        <f t="shared" ref="I45:I47" si="21">IF(G45&gt;0,H45/G45-1,"")</f>
        <v>0</v>
      </c>
      <c r="J45" s="138">
        <f t="shared" ref="J45:J47" si="22">IF(G45&gt;0,H45-G45,"")</f>
        <v>0</v>
      </c>
      <c r="K45" s="125" t="str">
        <f>IF(H45&lt;&gt;G45,"þ"," ")</f>
        <v xml:space="preserve"> </v>
      </c>
    </row>
    <row r="46" spans="1:11" ht="12.75" customHeight="1">
      <c r="A46" s="72"/>
      <c r="B46" s="6"/>
      <c r="C46" s="4"/>
      <c r="D46" s="13" t="s">
        <v>6</v>
      </c>
      <c r="E46" s="149">
        <v>29145.759999999998</v>
      </c>
      <c r="F46" s="147">
        <v>29145.759999999998</v>
      </c>
      <c r="G46" s="150">
        <f t="shared" si="19"/>
        <v>35849.284799999994</v>
      </c>
      <c r="H46" s="148">
        <f t="shared" si="20"/>
        <v>35849.284799999994</v>
      </c>
      <c r="I46" s="142">
        <f t="shared" si="21"/>
        <v>0</v>
      </c>
      <c r="J46" s="138">
        <f t="shared" si="22"/>
        <v>0</v>
      </c>
      <c r="K46" s="125" t="str">
        <f>IF(H46&lt;&gt;G46,"þ"," ")</f>
        <v xml:space="preserve"> </v>
      </c>
    </row>
    <row r="47" spans="1:11" ht="12.75" customHeight="1">
      <c r="A47" s="72"/>
      <c r="B47" s="6">
        <v>2</v>
      </c>
      <c r="C47" s="4" t="s">
        <v>11</v>
      </c>
      <c r="D47" s="13" t="s">
        <v>7</v>
      </c>
      <c r="E47" s="149">
        <v>89.27</v>
      </c>
      <c r="F47" s="147">
        <v>89.27</v>
      </c>
      <c r="G47" s="150">
        <f t="shared" si="19"/>
        <v>109.8021</v>
      </c>
      <c r="H47" s="148">
        <f t="shared" si="20"/>
        <v>109.8021</v>
      </c>
      <c r="I47" s="142">
        <f t="shared" si="21"/>
        <v>0</v>
      </c>
      <c r="J47" s="138">
        <f t="shared" si="22"/>
        <v>0</v>
      </c>
      <c r="K47" s="125" t="str">
        <f>IF(H47&lt;&gt;G47,"þ"," ")</f>
        <v xml:space="preserve"> </v>
      </c>
    </row>
    <row r="48" spans="1:11" ht="12.75" customHeight="1">
      <c r="A48" s="72"/>
      <c r="B48" s="6">
        <v>3</v>
      </c>
      <c r="C48" s="4" t="s">
        <v>4</v>
      </c>
      <c r="D48" s="13" t="s">
        <v>8</v>
      </c>
      <c r="E48" s="149">
        <v>26.84</v>
      </c>
      <c r="F48" s="147">
        <v>26.84</v>
      </c>
      <c r="G48" s="150">
        <f t="shared" ref="G48" si="23">E48*(1+$H$6)</f>
        <v>33.013199999999998</v>
      </c>
      <c r="H48" s="148">
        <f t="shared" ref="H48" si="24">F48*(1+$H$6)</f>
        <v>33.013199999999998</v>
      </c>
      <c r="I48" s="142">
        <f t="shared" ref="I48" si="25">IF(G48&gt;0,H48/G48-1,"")</f>
        <v>0</v>
      </c>
      <c r="J48" s="138">
        <f t="shared" ref="J48" si="26">IF(G48&gt;0,H48-G48,"")</f>
        <v>0</v>
      </c>
      <c r="K48" s="125" t="str">
        <f>IF(H48&lt;&gt;G48,"þ"," ")</f>
        <v xml:space="preserve"> </v>
      </c>
    </row>
    <row r="49" spans="1:11" ht="12.75" customHeight="1">
      <c r="A49" s="72"/>
      <c r="K49" s="66"/>
    </row>
    <row r="50" spans="1:11" ht="18" customHeight="1">
      <c r="A50" s="72"/>
      <c r="B50" s="75" t="s">
        <v>56</v>
      </c>
      <c r="C50" s="76" t="s">
        <v>16</v>
      </c>
      <c r="D50" s="76" t="s">
        <v>61</v>
      </c>
      <c r="E50" s="77"/>
      <c r="F50" s="77"/>
      <c r="G50" s="77"/>
      <c r="H50" s="77"/>
      <c r="I50" s="77"/>
      <c r="J50" s="77"/>
      <c r="K50" s="66"/>
    </row>
    <row r="51" spans="1:11" ht="12.75" customHeight="1">
      <c r="A51" s="72"/>
      <c r="B51" s="46"/>
      <c r="C51" s="47"/>
      <c r="D51" s="47"/>
      <c r="E51" s="47" t="s">
        <v>2</v>
      </c>
      <c r="F51" s="47"/>
      <c r="G51" s="82" t="s">
        <v>3</v>
      </c>
      <c r="H51" s="47"/>
      <c r="I51" s="47"/>
      <c r="J51" s="48"/>
      <c r="K51" s="66"/>
    </row>
    <row r="52" spans="1:11" ht="12.75" customHeight="1">
      <c r="A52" s="72"/>
      <c r="E52" s="163" t="s">
        <v>65</v>
      </c>
      <c r="F52" s="39" t="s">
        <v>74</v>
      </c>
      <c r="G52" s="163" t="s">
        <v>73</v>
      </c>
      <c r="H52" s="39" t="s">
        <v>74</v>
      </c>
      <c r="I52" s="110" t="s">
        <v>75</v>
      </c>
      <c r="J52" s="138" t="s">
        <v>38</v>
      </c>
      <c r="K52" s="125"/>
    </row>
    <row r="53" spans="1:11" ht="12.75" customHeight="1">
      <c r="A53" s="72"/>
      <c r="B53" s="6">
        <v>1</v>
      </c>
      <c r="C53" s="4" t="s">
        <v>13</v>
      </c>
      <c r="D53" s="13" t="s">
        <v>5</v>
      </c>
      <c r="E53" s="149">
        <v>50236.98</v>
      </c>
      <c r="F53" s="147">
        <v>50236.98</v>
      </c>
      <c r="G53" s="150">
        <f t="shared" ref="G53:G55" si="27">E53*(1+$H$6)</f>
        <v>61791.485400000005</v>
      </c>
      <c r="H53" s="148">
        <f t="shared" ref="H53:H55" si="28">F53*(1+$H$6)</f>
        <v>61791.485400000005</v>
      </c>
      <c r="I53" s="142">
        <f t="shared" ref="I53:I55" si="29">IF(G53&gt;0,H53/G53-1,"")</f>
        <v>0</v>
      </c>
      <c r="J53" s="138">
        <f t="shared" ref="J53:J55" si="30">IF(G53&gt;0,H53-G53,"")</f>
        <v>0</v>
      </c>
      <c r="K53" s="125" t="str">
        <f>IF(H53&lt;&gt;G53,"þ"," ")</f>
        <v xml:space="preserve"> </v>
      </c>
    </row>
    <row r="54" spans="1:11" ht="12.75" customHeight="1">
      <c r="A54" s="72"/>
      <c r="B54" s="6"/>
      <c r="C54" s="4"/>
      <c r="D54" s="13" t="s">
        <v>6</v>
      </c>
      <c r="E54" s="149">
        <v>4186.42</v>
      </c>
      <c r="F54" s="147">
        <v>4186.42</v>
      </c>
      <c r="G54" s="150">
        <f t="shared" si="27"/>
        <v>5149.2965999999997</v>
      </c>
      <c r="H54" s="148">
        <f t="shared" si="28"/>
        <v>5149.2965999999997</v>
      </c>
      <c r="I54" s="142">
        <f t="shared" si="29"/>
        <v>0</v>
      </c>
      <c r="J54" s="138">
        <f t="shared" si="30"/>
        <v>0</v>
      </c>
      <c r="K54" s="125" t="str">
        <f>IF(H54&lt;&gt;G54,"þ"," ")</f>
        <v xml:space="preserve"> </v>
      </c>
    </row>
    <row r="55" spans="1:11" ht="12.75" customHeight="1">
      <c r="A55" s="72"/>
      <c r="B55" s="6">
        <v>2</v>
      </c>
      <c r="C55" s="4" t="s">
        <v>14</v>
      </c>
      <c r="D55" s="13" t="s">
        <v>7</v>
      </c>
      <c r="E55" s="149">
        <v>13.94</v>
      </c>
      <c r="F55" s="147">
        <v>13.94</v>
      </c>
      <c r="G55" s="150">
        <f t="shared" si="27"/>
        <v>17.1462</v>
      </c>
      <c r="H55" s="148">
        <f t="shared" si="28"/>
        <v>17.1462</v>
      </c>
      <c r="I55" s="142">
        <f t="shared" si="29"/>
        <v>0</v>
      </c>
      <c r="J55" s="138">
        <f t="shared" si="30"/>
        <v>0</v>
      </c>
      <c r="K55" s="125" t="str">
        <f>IF(H55&lt;&gt;G55,"þ"," ")</f>
        <v xml:space="preserve"> </v>
      </c>
    </row>
    <row r="56" spans="1:11" ht="12.75" customHeight="1" thickBot="1">
      <c r="A56" s="74"/>
      <c r="B56" s="63"/>
      <c r="C56" s="64"/>
      <c r="D56" s="64"/>
      <c r="E56" s="64"/>
      <c r="F56" s="64"/>
      <c r="G56" s="64"/>
      <c r="H56" s="64"/>
      <c r="I56" s="64"/>
      <c r="J56" s="64"/>
      <c r="K56" s="69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Q60"/>
  <sheetViews>
    <sheetView showGridLines="0" zoomScaleNormal="100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1"/>
      <c r="B1" s="129" t="s">
        <v>44</v>
      </c>
      <c r="C1" s="130" t="s">
        <v>48</v>
      </c>
      <c r="D1" s="70"/>
      <c r="E1" s="70"/>
      <c r="F1" s="70"/>
      <c r="G1" s="70"/>
      <c r="H1" s="70"/>
      <c r="I1" s="70"/>
      <c r="J1" s="70"/>
      <c r="K1" s="65"/>
    </row>
    <row r="2" spans="1:11" ht="12.75" customHeight="1">
      <c r="A2" s="72"/>
      <c r="B2" s="4"/>
      <c r="C2" s="4"/>
      <c r="D2" s="4"/>
      <c r="E2" s="4"/>
      <c r="F2" s="4"/>
      <c r="G2" s="4"/>
      <c r="H2" s="4"/>
      <c r="I2" s="5" t="s">
        <v>46</v>
      </c>
      <c r="J2" s="44">
        <f>Ceny!J2</f>
        <v>45200</v>
      </c>
      <c r="K2" s="66"/>
    </row>
    <row r="3" spans="1:11" ht="18" customHeight="1">
      <c r="A3" s="72"/>
      <c r="B3" s="46"/>
      <c r="C3" s="49" t="s">
        <v>43</v>
      </c>
      <c r="D3" s="47"/>
      <c r="E3" s="47"/>
      <c r="F3" s="47"/>
      <c r="G3" s="47"/>
      <c r="H3" s="47"/>
      <c r="I3" s="47"/>
      <c r="J3" s="78">
        <f>Ceny!J3</f>
        <v>2023</v>
      </c>
      <c r="K3" s="66"/>
    </row>
    <row r="4" spans="1:11" ht="18" customHeight="1">
      <c r="A4" s="72"/>
      <c r="B4" s="46"/>
      <c r="C4" s="53" t="s">
        <v>37</v>
      </c>
      <c r="D4" s="47"/>
      <c r="E4" s="47"/>
      <c r="F4" s="47"/>
      <c r="G4" s="47"/>
      <c r="H4" s="47"/>
      <c r="I4" s="47"/>
      <c r="J4" s="48"/>
      <c r="K4" s="66"/>
    </row>
    <row r="5" spans="1:11" ht="12.75" customHeight="1">
      <c r="A5" s="72"/>
      <c r="B5" s="6"/>
      <c r="C5" s="7" t="s">
        <v>47</v>
      </c>
      <c r="D5" s="42" t="str">
        <f>IF(LEN(Ceny!D5&gt;0),Ceny!D5," ")</f>
        <v>Zmiana cen energii PAK-PCE BiW Sp. z o.o. obowiązująca od dnia 01-10-2023</v>
      </c>
      <c r="E5" s="42"/>
      <c r="F5" s="42"/>
      <c r="G5" s="42"/>
      <c r="H5" s="42"/>
      <c r="I5" s="42"/>
      <c r="J5" s="45"/>
      <c r="K5" s="66"/>
    </row>
    <row r="6" spans="1:11" ht="12.75" customHeight="1">
      <c r="A6" s="72"/>
      <c r="B6" s="6"/>
      <c r="D6" s="42"/>
      <c r="E6" s="43"/>
      <c r="F6" s="43"/>
      <c r="G6" s="43"/>
      <c r="H6" s="43"/>
      <c r="I6" s="43"/>
      <c r="J6" s="4"/>
      <c r="K6" s="66"/>
    </row>
    <row r="7" spans="1:11" ht="18" customHeight="1">
      <c r="A7" s="72"/>
      <c r="B7" s="75" t="s">
        <v>17</v>
      </c>
      <c r="C7" s="76" t="s">
        <v>27</v>
      </c>
      <c r="D7" s="77"/>
      <c r="E7" s="77"/>
      <c r="F7" s="77"/>
      <c r="G7" s="77"/>
      <c r="H7" s="77"/>
      <c r="I7" s="77"/>
      <c r="J7" s="77"/>
      <c r="K7" s="66"/>
    </row>
    <row r="8" spans="1:11" ht="12.75" customHeight="1">
      <c r="A8" s="72"/>
      <c r="B8" s="46"/>
      <c r="C8" s="47"/>
      <c r="D8" s="47"/>
      <c r="E8" s="47"/>
      <c r="F8" s="47"/>
      <c r="G8" s="47"/>
      <c r="H8" s="47"/>
      <c r="I8" s="47"/>
      <c r="J8" s="48"/>
      <c r="K8" s="66"/>
    </row>
    <row r="9" spans="1:11" ht="12.75" customHeight="1">
      <c r="A9" s="72"/>
      <c r="B9" s="8"/>
      <c r="C9" s="9"/>
      <c r="D9" s="8"/>
      <c r="E9" s="8"/>
      <c r="F9" s="8"/>
      <c r="G9" s="8"/>
      <c r="H9" s="10"/>
      <c r="I9" s="11"/>
      <c r="J9" s="8"/>
      <c r="K9" s="66"/>
    </row>
    <row r="10" spans="1:11" ht="12.75" customHeight="1">
      <c r="A10" s="72"/>
      <c r="B10" s="4"/>
      <c r="C10" s="4"/>
      <c r="D10" s="4"/>
      <c r="E10" s="9"/>
      <c r="F10" s="9"/>
      <c r="G10" s="4"/>
      <c r="H10" s="4"/>
      <c r="I10" s="4"/>
      <c r="J10" s="4"/>
      <c r="K10" s="66"/>
    </row>
    <row r="11" spans="1:11" ht="12.75" customHeight="1">
      <c r="A11" s="72"/>
      <c r="B11" s="6">
        <v>1</v>
      </c>
      <c r="C11" s="12" t="s">
        <v>39</v>
      </c>
      <c r="D11" s="4"/>
      <c r="E11" s="62">
        <v>8</v>
      </c>
      <c r="F11" s="14"/>
      <c r="G11" s="4"/>
      <c r="H11" s="15"/>
      <c r="I11" s="60">
        <f>E11/1000</f>
        <v>8.0000000000000002E-3</v>
      </c>
      <c r="J11" s="16" t="s">
        <v>32</v>
      </c>
      <c r="K11" s="66"/>
    </row>
    <row r="12" spans="1:11" ht="12.75" customHeight="1">
      <c r="A12" s="72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66"/>
    </row>
    <row r="13" spans="1:11" ht="12.75" customHeight="1">
      <c r="A13" s="72"/>
      <c r="B13" s="4"/>
      <c r="C13" s="4"/>
      <c r="D13" s="4"/>
      <c r="E13" s="4"/>
      <c r="F13" s="4"/>
      <c r="G13" s="4"/>
      <c r="H13" s="4"/>
      <c r="I13" s="4"/>
      <c r="J13" s="4"/>
      <c r="K13" s="66"/>
    </row>
    <row r="14" spans="1:11" ht="12.75" customHeight="1">
      <c r="A14" s="72"/>
      <c r="B14" s="4"/>
      <c r="C14" s="4"/>
      <c r="D14" s="4"/>
      <c r="E14" s="4"/>
      <c r="F14" s="100" t="s">
        <v>52</v>
      </c>
      <c r="G14" s="101"/>
      <c r="H14" s="102"/>
      <c r="I14" s="102"/>
      <c r="J14" s="102"/>
      <c r="K14" s="66"/>
    </row>
    <row r="15" spans="1:11" ht="12.75" customHeight="1">
      <c r="A15" s="72"/>
      <c r="B15" s="6">
        <v>2</v>
      </c>
      <c r="C15" s="12" t="s">
        <v>31</v>
      </c>
      <c r="D15" s="4"/>
      <c r="E15" s="20">
        <v>2</v>
      </c>
      <c r="F15" s="100" t="s">
        <v>53</v>
      </c>
      <c r="G15" s="101"/>
      <c r="H15" s="103"/>
      <c r="I15" s="104"/>
      <c r="J15" s="105"/>
      <c r="K15" s="66"/>
    </row>
    <row r="16" spans="1:11" ht="12.75" customHeight="1">
      <c r="A16" s="72"/>
      <c r="B16" s="4"/>
      <c r="C16" s="17" t="s">
        <v>29</v>
      </c>
      <c r="D16" s="4"/>
      <c r="E16" s="4"/>
      <c r="F16" s="100" t="s">
        <v>54</v>
      </c>
      <c r="G16" s="101"/>
      <c r="H16" s="102"/>
      <c r="I16" s="102"/>
      <c r="J16" s="102"/>
      <c r="K16" s="66"/>
    </row>
    <row r="17" spans="1:12" ht="12.75" customHeight="1">
      <c r="A17" s="72"/>
      <c r="B17" s="4"/>
      <c r="C17" s="4"/>
      <c r="D17" s="4"/>
      <c r="E17" s="4"/>
      <c r="F17" s="21" t="s">
        <v>55</v>
      </c>
      <c r="H17" s="4"/>
      <c r="I17" s="4"/>
      <c r="J17" s="4"/>
      <c r="K17" s="66"/>
    </row>
    <row r="18" spans="1:12" ht="12.75" customHeight="1">
      <c r="A18" s="72"/>
      <c r="K18" s="66"/>
    </row>
    <row r="19" spans="1:12" ht="12.75" customHeight="1">
      <c r="A19" s="72"/>
      <c r="B19" s="4"/>
      <c r="C19" s="4"/>
      <c r="D19" s="4"/>
      <c r="E19" s="4"/>
      <c r="F19" s="4"/>
      <c r="G19" s="4"/>
      <c r="H19" s="4"/>
      <c r="I19" s="4"/>
      <c r="J19" s="4"/>
      <c r="K19" s="66"/>
    </row>
    <row r="20" spans="1:12" ht="12.75" customHeight="1">
      <c r="A20" s="72"/>
      <c r="B20" s="6">
        <v>3</v>
      </c>
      <c r="C20" s="12" t="s">
        <v>40</v>
      </c>
      <c r="D20" s="4"/>
      <c r="E20" s="62">
        <v>10</v>
      </c>
      <c r="F20" s="20">
        <v>1</v>
      </c>
      <c r="G20" s="12"/>
      <c r="H20" s="12"/>
      <c r="I20" s="61">
        <f>E20</f>
        <v>10</v>
      </c>
      <c r="J20" s="13" t="s">
        <v>30</v>
      </c>
      <c r="K20" s="66"/>
    </row>
    <row r="21" spans="1:12" ht="12.75" customHeight="1">
      <c r="A21" s="72"/>
      <c r="B21" s="6"/>
      <c r="C21" s="17" t="s">
        <v>30</v>
      </c>
      <c r="D21" s="12"/>
      <c r="E21" s="12"/>
      <c r="F21" s="12"/>
      <c r="G21" s="12"/>
      <c r="H21" s="12"/>
      <c r="I21" s="61">
        <f>E20/3.6/0.001</f>
        <v>2777.7777777777778</v>
      </c>
      <c r="J21" s="13" t="s">
        <v>33</v>
      </c>
      <c r="K21" s="66"/>
    </row>
    <row r="22" spans="1:12" ht="12.75" customHeight="1">
      <c r="A22" s="72"/>
      <c r="B22" s="6"/>
      <c r="C22" s="9"/>
      <c r="D22" s="12"/>
      <c r="E22" s="12"/>
      <c r="F22" s="12"/>
      <c r="G22" s="12"/>
      <c r="H22" s="12"/>
      <c r="K22" s="66"/>
    </row>
    <row r="23" spans="1:12" ht="12.75" customHeight="1">
      <c r="A23" s="73"/>
      <c r="B23" s="6">
        <v>4</v>
      </c>
      <c r="C23" s="12" t="s">
        <v>66</v>
      </c>
      <c r="D23" s="23"/>
      <c r="E23" s="22">
        <v>1</v>
      </c>
      <c r="F23" s="24">
        <v>2</v>
      </c>
      <c r="G23" s="23"/>
      <c r="H23" s="23"/>
      <c r="I23" s="23" t="s">
        <v>41</v>
      </c>
      <c r="J23" s="22" t="s">
        <v>29</v>
      </c>
      <c r="K23" s="66"/>
    </row>
    <row r="24" spans="1:12" ht="12.75" customHeight="1">
      <c r="A24" s="73"/>
      <c r="B24" s="22">
        <v>5</v>
      </c>
      <c r="C24" s="17" t="s">
        <v>29</v>
      </c>
      <c r="D24" s="25"/>
      <c r="E24" s="25"/>
      <c r="F24" s="25"/>
      <c r="G24" s="25"/>
      <c r="H24" s="25"/>
      <c r="I24" s="25"/>
      <c r="J24" s="25"/>
      <c r="K24" s="66"/>
    </row>
    <row r="25" spans="1:12" ht="12.75" customHeight="1">
      <c r="A25" s="73"/>
      <c r="B25" s="26"/>
      <c r="C25" s="27"/>
      <c r="D25" s="27"/>
      <c r="E25" s="27"/>
      <c r="F25" s="27"/>
      <c r="G25" s="27"/>
      <c r="H25" s="27"/>
      <c r="I25" s="27"/>
      <c r="J25" s="27"/>
      <c r="K25" s="66"/>
    </row>
    <row r="26" spans="1:12" ht="18" customHeight="1">
      <c r="A26" s="72"/>
      <c r="B26" s="75" t="s">
        <v>18</v>
      </c>
      <c r="C26" s="76" t="s">
        <v>70</v>
      </c>
      <c r="D26" s="76"/>
      <c r="E26" s="77"/>
      <c r="F26" s="77"/>
      <c r="G26" s="77"/>
      <c r="H26" s="77"/>
      <c r="I26" s="77"/>
      <c r="J26" s="77"/>
      <c r="K26" s="66"/>
    </row>
    <row r="27" spans="1:12" ht="12.75" customHeight="1">
      <c r="A27" s="72"/>
      <c r="B27" s="46"/>
      <c r="C27" s="82" t="str">
        <f>IF($E$15=4,"Dla grupy A5 opłaty źródła i przesyłu dotyczą MPEC-KONIN Sp. z o.o."," ")</f>
        <v xml:space="preserve"> </v>
      </c>
      <c r="D27" s="47"/>
      <c r="E27" s="47"/>
      <c r="F27" s="47"/>
      <c r="G27" s="47"/>
      <c r="H27" s="50" t="s">
        <v>57</v>
      </c>
      <c r="I27" s="52" t="s">
        <v>45</v>
      </c>
      <c r="J27" s="51" t="s">
        <v>9</v>
      </c>
      <c r="K27" s="124"/>
    </row>
    <row r="28" spans="1:12" ht="12.75" customHeight="1">
      <c r="A28" s="72"/>
      <c r="B28" s="9"/>
      <c r="C28" s="162"/>
      <c r="D28" s="162"/>
      <c r="E28" s="162"/>
      <c r="F28" s="28"/>
      <c r="G28" s="8"/>
      <c r="H28" s="109">
        <f>IF(I40&lt;&gt;0,IF(E15=4,0,I32/I40),0)</f>
        <v>0.66717924457953559</v>
      </c>
      <c r="I28" s="109">
        <f>1-H28</f>
        <v>0.33282075542046441</v>
      </c>
      <c r="J28" s="106"/>
      <c r="K28" s="124"/>
    </row>
    <row r="29" spans="1:12" ht="12.75" customHeight="1">
      <c r="A29" s="72"/>
      <c r="B29" s="9"/>
      <c r="C29" s="162"/>
      <c r="D29" s="114">
        <f>IF(F23=2,I11*Ceny!G11,I11*Ceny!E11)</f>
        <v>165.60828240000001</v>
      </c>
      <c r="E29" s="114">
        <f>IF(F23=2,I11*Ceny!G46,I11*Ceny!E46)</f>
        <v>286.79427839999994</v>
      </c>
      <c r="F29" s="114"/>
      <c r="G29" s="114"/>
      <c r="H29" s="109">
        <f>1-H28+0.001</f>
        <v>0.33382075542046441</v>
      </c>
      <c r="I29" s="109">
        <f>1-H29</f>
        <v>0.66617924457953559</v>
      </c>
      <c r="J29" s="108"/>
      <c r="K29" s="124"/>
      <c r="L29" s="3"/>
    </row>
    <row r="30" spans="1:12" ht="12.75" customHeight="1">
      <c r="A30" s="72"/>
      <c r="B30" s="6">
        <v>1</v>
      </c>
      <c r="C30" s="4" t="s">
        <v>62</v>
      </c>
      <c r="D30" s="114">
        <f>IF(F23=2,I20*Ceny!G12,I20*Ceny!E12)</f>
        <v>601.71600000000001</v>
      </c>
      <c r="E30" s="114">
        <f>IF(F23=2,I20*Ceny!G47,I20*Ceny!E47)</f>
        <v>1098.021</v>
      </c>
      <c r="F30" s="111"/>
      <c r="G30" s="110"/>
      <c r="H30" s="135">
        <f>IF(F20=1,IF(E15&lt;=3,D29,E29),0)</f>
        <v>165.60828240000001</v>
      </c>
      <c r="I30" s="29">
        <f>IF(F20=1,IF(E15&lt;=3,D31,E31),0)</f>
        <v>165.37418880000001</v>
      </c>
      <c r="J30" s="143">
        <f>IF(H30&gt;0,I30/H30-1,0)</f>
        <v>-1.4135379982661567E-3</v>
      </c>
      <c r="K30" s="125" t="str">
        <f>IF(H30&lt;&gt;I30,"þ"," ")</f>
        <v>þ</v>
      </c>
    </row>
    <row r="31" spans="1:12" ht="12.75" customHeight="1">
      <c r="A31" s="72"/>
      <c r="B31" s="6"/>
      <c r="C31" s="54" t="s">
        <v>63</v>
      </c>
      <c r="D31" s="115">
        <f>IF(F23=2,I11*Ceny!H11,I11*Ceny!F11)</f>
        <v>165.37418880000001</v>
      </c>
      <c r="E31" s="115">
        <f>IF(F23=2,I11*Ceny!H46,I11*Ceny!F46)</f>
        <v>286.79427839999994</v>
      </c>
      <c r="F31" s="112"/>
      <c r="G31" s="112"/>
      <c r="H31" s="86">
        <f>IF(F20=1,IF(E15&lt;=3,D30,E30),0)</f>
        <v>601.71600000000001</v>
      </c>
      <c r="I31" s="55">
        <f>IF(F20=1,IF(E15&lt;=3,D32,E32),0)</f>
        <v>602.33100000000002</v>
      </c>
      <c r="J31" s="145">
        <f>IF(H31&gt;0,I31/H31-1,0)</f>
        <v>1.0220768601798547E-3</v>
      </c>
      <c r="K31" s="125" t="str">
        <f t="shared" ref="K31:K36" si="0">IF(H31&lt;&gt;I31,"þ"," ")</f>
        <v>þ</v>
      </c>
    </row>
    <row r="32" spans="1:12" ht="12.75" customHeight="1">
      <c r="A32" s="72"/>
      <c r="B32" s="6"/>
      <c r="C32" s="12" t="s">
        <v>64</v>
      </c>
      <c r="D32" s="116">
        <f>IF(F23=2,I20*Ceny!H12,I20*Ceny!F12)</f>
        <v>602.33100000000002</v>
      </c>
      <c r="E32" s="116">
        <f>IF(F23=2,I20*Ceny!H47,I20*Ceny!F47)</f>
        <v>1098.021</v>
      </c>
      <c r="F32" s="107"/>
      <c r="G32" s="107"/>
      <c r="H32" s="80">
        <f>SUM(H30:H31)</f>
        <v>767.32428240000002</v>
      </c>
      <c r="I32" s="30">
        <f>SUM(I30:I31)</f>
        <v>767.70518880000009</v>
      </c>
      <c r="J32" s="144">
        <f>IF(H32&gt;0,I32/H32-1,0)</f>
        <v>4.9640863548416903E-4</v>
      </c>
      <c r="K32" s="125" t="str">
        <f t="shared" si="0"/>
        <v>þ</v>
      </c>
    </row>
    <row r="33" spans="1:17" ht="12.75" customHeight="1">
      <c r="A33" s="72"/>
      <c r="B33" s="6"/>
      <c r="C33" s="4"/>
      <c r="D33" s="114">
        <f>IF(F23=2,I11*Ceny!G19,I11*Ceny!E19)</f>
        <v>85.221583199999998</v>
      </c>
      <c r="E33" s="114">
        <f>IF(F23=2,I11*Ceny!G26,I11*Ceny!E26)</f>
        <v>73.991880000000009</v>
      </c>
      <c r="F33" s="114">
        <f>IF(F23=2,I11*Ceny!G33,I11*Ceny!E33)</f>
        <v>85.212038400000012</v>
      </c>
      <c r="G33" s="114">
        <f>IF(F23=2,I11*Ceny!G54,I11*Ceny!E54)</f>
        <v>41.194372799999996</v>
      </c>
      <c r="H33" s="81"/>
      <c r="I33" s="31" t="s">
        <v>38</v>
      </c>
      <c r="J33" s="85">
        <f>I32-H32</f>
        <v>0.3809064000000717</v>
      </c>
      <c r="K33" s="125"/>
    </row>
    <row r="34" spans="1:17" ht="12.75" customHeight="1">
      <c r="A34" s="72"/>
      <c r="B34" s="6">
        <v>2</v>
      </c>
      <c r="C34" s="4" t="s">
        <v>34</v>
      </c>
      <c r="D34" s="114">
        <f>IF(F23=2,I20*Ceny!G20,I20*Ceny!E20)</f>
        <v>274.536</v>
      </c>
      <c r="E34" s="114">
        <f>IF(F23=2,I20*Ceny!G27,I20*Ceny!E27)</f>
        <v>308.976</v>
      </c>
      <c r="F34" s="114">
        <f>IF(F23=2,I20*Ceny!G34,I20*Ceny!E34)</f>
        <v>269.86200000000002</v>
      </c>
      <c r="G34" s="114">
        <f>IF(F23=2,I20*Ceny!G55,I20*Ceny!E55)</f>
        <v>171.46199999999999</v>
      </c>
      <c r="H34" s="135">
        <f>IF(F20=1,IF(E15=1,D33,IF(E15=2,E33,IF(E15=3,F33,IF(E15=4,G33,0)))),0)</f>
        <v>73.991880000000009</v>
      </c>
      <c r="I34" s="29">
        <f>IF(F20=1,IF(E15=1,D35,IF(E15=2,E35,IF(E15=3,F35,IF(E15=4,G35,0)))),0)</f>
        <v>73.991880000000009</v>
      </c>
      <c r="J34" s="143">
        <f>IF(H34&gt;0,I34/H34-1,0)</f>
        <v>0</v>
      </c>
      <c r="K34" s="125" t="str">
        <f t="shared" si="0"/>
        <v xml:space="preserve"> </v>
      </c>
    </row>
    <row r="35" spans="1:17" ht="12.75" customHeight="1">
      <c r="A35" s="72"/>
      <c r="B35" s="6"/>
      <c r="C35" s="54" t="s">
        <v>35</v>
      </c>
      <c r="D35" s="115">
        <f>IF(F23=2,I11*Ceny!H19,I11*Ceny!F19)</f>
        <v>85.221583199999998</v>
      </c>
      <c r="E35" s="115">
        <f>IF(F23=2,I11*Ceny!H26,I11*Ceny!F26)</f>
        <v>73.991880000000009</v>
      </c>
      <c r="F35" s="115">
        <f>IF(F23=2,I11*Ceny!H33,I11*Ceny!F33)</f>
        <v>85.212038400000012</v>
      </c>
      <c r="G35" s="115">
        <f>IF(F23=2,I11*Ceny!H54,I11*Ceny!F54)</f>
        <v>41.194372799999996</v>
      </c>
      <c r="H35" s="86">
        <f>IF(F20=1,IF(E15=1,D34,IF(E15=2,E34,IF(E15=3,F34,IF(E15=4,G34,0)))),0)</f>
        <v>308.976</v>
      </c>
      <c r="I35" s="55">
        <f>IF(F20=1,IF(E15=1,D36,IF(E15=2,E36,IF(E15=3,F36,IF(E15=4,G36,0)))),0)</f>
        <v>308.976</v>
      </c>
      <c r="J35" s="145">
        <f>IF(H35&gt;0,I35/H35-1,0)</f>
        <v>0</v>
      </c>
      <c r="K35" s="125" t="str">
        <f>IF(H35&lt;&gt;I35,"þ"," ")</f>
        <v xml:space="preserve"> </v>
      </c>
      <c r="N35" s="153"/>
    </row>
    <row r="36" spans="1:17" ht="12.75" customHeight="1">
      <c r="A36" s="72"/>
      <c r="B36" s="6"/>
      <c r="C36" s="12" t="s">
        <v>42</v>
      </c>
      <c r="D36" s="116">
        <f>IF(F23=2,I20*Ceny!H20,I20*Ceny!F20)</f>
        <v>274.536</v>
      </c>
      <c r="E36" s="116">
        <f>IF(F23=2,I20*Ceny!H27,I20*Ceny!F27)</f>
        <v>308.976</v>
      </c>
      <c r="F36" s="116">
        <f>IF(F23=2,I20*Ceny!H34,I20*Ceny!F34)</f>
        <v>269.86200000000002</v>
      </c>
      <c r="G36" s="116">
        <f>IF(F23=2,I20*Ceny!H55,I20*Ceny!F55)</f>
        <v>171.46199999999999</v>
      </c>
      <c r="H36" s="80">
        <f>SUM(H34:H35)</f>
        <v>382.96788000000004</v>
      </c>
      <c r="I36" s="30">
        <f>SUM(I34:I35)</f>
        <v>382.96788000000004</v>
      </c>
      <c r="J36" s="144">
        <f>IF(H36&gt;0,I36/H36-1,0)</f>
        <v>0</v>
      </c>
      <c r="K36" s="125" t="str">
        <f t="shared" si="0"/>
        <v xml:space="preserve"> </v>
      </c>
    </row>
    <row r="37" spans="1:17" ht="12.75" customHeight="1">
      <c r="A37" s="72"/>
      <c r="B37" s="26"/>
      <c r="C37" s="77"/>
      <c r="D37" s="113"/>
      <c r="E37" s="113"/>
      <c r="F37" s="113"/>
      <c r="G37" s="113"/>
      <c r="H37" s="77"/>
      <c r="I37" s="91"/>
      <c r="J37" s="92"/>
      <c r="K37" s="66"/>
      <c r="Q37" s="156"/>
    </row>
    <row r="38" spans="1:17" ht="12.75" customHeight="1">
      <c r="A38" s="72"/>
      <c r="B38" s="22">
        <v>3</v>
      </c>
      <c r="C38" s="93"/>
      <c r="D38" s="113"/>
      <c r="E38" s="113"/>
      <c r="F38" s="113"/>
      <c r="G38" s="113"/>
      <c r="H38" s="94"/>
      <c r="I38" s="94"/>
      <c r="J38" s="95"/>
      <c r="K38" s="66"/>
    </row>
    <row r="39" spans="1:17" ht="12.75" customHeight="1">
      <c r="A39" s="72"/>
      <c r="B39" s="26"/>
      <c r="C39" s="96"/>
      <c r="D39" s="117"/>
      <c r="E39" s="117"/>
      <c r="F39" s="117"/>
      <c r="G39" s="117"/>
      <c r="H39" s="96"/>
      <c r="I39" s="97"/>
      <c r="J39" s="98"/>
      <c r="K39" s="66"/>
    </row>
    <row r="40" spans="1:17" ht="12.75" customHeight="1">
      <c r="A40" s="72"/>
      <c r="B40" s="6"/>
      <c r="C40" s="56" t="s">
        <v>68</v>
      </c>
      <c r="D40" s="118"/>
      <c r="E40" s="118"/>
      <c r="F40" s="118"/>
      <c r="G40" s="118"/>
      <c r="H40" s="79">
        <f>H32+H36+H38</f>
        <v>1150.2921624000001</v>
      </c>
      <c r="I40" s="57">
        <f>I32+I36+I38</f>
        <v>1150.6730688000002</v>
      </c>
      <c r="J40" s="146">
        <f>IF(H40&gt;0,I40/H40-1,0)</f>
        <v>3.3113882929147742E-4</v>
      </c>
      <c r="K40" s="125" t="str">
        <f t="shared" ref="K40" si="1">IF(H40&lt;&gt;I40,"þ"," ")</f>
        <v>þ</v>
      </c>
    </row>
    <row r="41" spans="1:17" ht="12.75" customHeight="1">
      <c r="A41" s="72"/>
      <c r="B41" s="6"/>
      <c r="C41" s="4"/>
      <c r="D41" s="108"/>
      <c r="E41" s="108"/>
      <c r="F41" s="108"/>
      <c r="G41" s="108"/>
      <c r="H41" s="5"/>
      <c r="I41" s="87" t="s">
        <v>38</v>
      </c>
      <c r="J41" s="151">
        <f>I40-H40</f>
        <v>0.38090640000018539</v>
      </c>
      <c r="K41" s="66"/>
    </row>
    <row r="42" spans="1:17" ht="18" customHeight="1">
      <c r="A42" s="72"/>
      <c r="B42" s="75" t="s">
        <v>24</v>
      </c>
      <c r="C42" s="76" t="s">
        <v>71</v>
      </c>
      <c r="D42" s="119"/>
      <c r="E42" s="108"/>
      <c r="F42" s="108"/>
      <c r="G42" s="108"/>
      <c r="H42" s="32"/>
      <c r="I42" s="77"/>
      <c r="J42" s="77"/>
      <c r="K42" s="66"/>
    </row>
    <row r="43" spans="1:17" ht="12.75" customHeight="1">
      <c r="A43" s="72"/>
      <c r="B43" s="46"/>
      <c r="C43" s="82" t="str">
        <f>IF($E$15=4,"Dla grupy A5 opłaty źródła i przesyłu dotyczą MPEC-KONIN Sp. z o.o."," ")</f>
        <v xml:space="preserve"> </v>
      </c>
      <c r="D43" s="120"/>
      <c r="E43" s="120"/>
      <c r="F43" s="120"/>
      <c r="G43" s="120"/>
      <c r="H43" s="50" t="s">
        <v>57</v>
      </c>
      <c r="I43" s="52" t="s">
        <v>45</v>
      </c>
      <c r="J43" s="51" t="s">
        <v>9</v>
      </c>
      <c r="K43" s="124"/>
    </row>
    <row r="44" spans="1:17" ht="12.75" customHeight="1">
      <c r="A44" s="72"/>
      <c r="B44" s="33"/>
      <c r="D44" s="107"/>
      <c r="E44" s="107"/>
      <c r="F44" s="121"/>
      <c r="G44" s="106"/>
      <c r="H44" s="109">
        <f>IF(I56&lt;&gt;0,IF(E15=4,0,I48/I56),0)</f>
        <v>0</v>
      </c>
      <c r="I44" s="109">
        <f>1-H44</f>
        <v>1</v>
      </c>
      <c r="J44" s="88"/>
      <c r="K44" s="124"/>
    </row>
    <row r="45" spans="1:17" ht="12.75" customHeight="1">
      <c r="A45" s="72"/>
      <c r="B45" s="34"/>
      <c r="D45" s="114">
        <f>IF(F23=2,I11*Ceny!G10,I11*Ceny!E10)</f>
        <v>1987.2997823999999</v>
      </c>
      <c r="E45" s="114">
        <f>IF(F23=2,I11*Ceny!G45,I11*Ceny!E45)</f>
        <v>3441.5307503999998</v>
      </c>
      <c r="F45" s="106"/>
      <c r="G45" s="106"/>
      <c r="H45" s="109">
        <f>1-H44+0.001</f>
        <v>1.0009999999999999</v>
      </c>
      <c r="I45" s="109">
        <f>1-H45</f>
        <v>-9.9999999999988987E-4</v>
      </c>
      <c r="J45" s="84"/>
      <c r="K45" s="124"/>
    </row>
    <row r="46" spans="1:17" ht="12.75" customHeight="1">
      <c r="A46" s="72"/>
      <c r="B46" s="8">
        <v>1</v>
      </c>
      <c r="C46" s="4" t="s">
        <v>62</v>
      </c>
      <c r="D46" s="114">
        <f>IF(F23=2,I20*Ceny!G12,I20*Ceny!E12)</f>
        <v>601.71600000000001</v>
      </c>
      <c r="E46" s="114">
        <f>IF(F23=2,I20*Ceny!G47,I20*Ceny!E47)</f>
        <v>1098.021</v>
      </c>
      <c r="F46" s="122"/>
      <c r="G46" s="122"/>
      <c r="H46" s="135">
        <f>IF(F20=1,0,IF(E15&lt;=3,D45,E45))</f>
        <v>0</v>
      </c>
      <c r="I46" s="29">
        <f>IF(F20=1,0,IF(E15&lt;=3,D47,E47))</f>
        <v>0</v>
      </c>
      <c r="J46" s="143">
        <f>IF(H46&gt;0,I46/H46-1,0)</f>
        <v>0</v>
      </c>
      <c r="K46" s="125" t="str">
        <f>IF(H46&lt;&gt;I46,"þ"," ")</f>
        <v xml:space="preserve"> </v>
      </c>
      <c r="L46" s="2"/>
    </row>
    <row r="47" spans="1:17" ht="12.75" customHeight="1">
      <c r="A47" s="72"/>
      <c r="B47" s="33"/>
      <c r="C47" s="54" t="s">
        <v>63</v>
      </c>
      <c r="D47" s="115">
        <f>IF(F23=2,I11*Ceny!H10,I11*Ceny!F10)</f>
        <v>1984.4897736</v>
      </c>
      <c r="E47" s="115">
        <f>IF(F23=2,I11*Ceny!H45,I11*Ceny!F45)</f>
        <v>3441.5307503999998</v>
      </c>
      <c r="F47" s="123"/>
      <c r="G47" s="123"/>
      <c r="H47" s="86">
        <f>IF(F20=1,IF(E15&lt;=3,D46*0,E46*0),IF(E15&lt;=3,D46,E46))</f>
        <v>0</v>
      </c>
      <c r="I47" s="55">
        <f>IF(F20=1,IF(E15&lt;=3,D48*0,E48*0),IF(E15&lt;=3,D48,E48))</f>
        <v>0</v>
      </c>
      <c r="J47" s="145">
        <f>IF(H47&gt;0,I47/H47-1,0)</f>
        <v>0</v>
      </c>
      <c r="K47" s="125" t="str">
        <f t="shared" ref="K47:K52" si="2">IF(H47&lt;&gt;I47,"þ"," ")</f>
        <v xml:space="preserve"> </v>
      </c>
      <c r="L47" s="2"/>
    </row>
    <row r="48" spans="1:17" ht="12.75" customHeight="1">
      <c r="A48" s="72"/>
      <c r="B48" s="33"/>
      <c r="C48" s="12" t="s">
        <v>64</v>
      </c>
      <c r="D48" s="127">
        <f>IF(F23=2,I20*Ceny!H12,I20*Ceny!F12)</f>
        <v>602.33100000000002</v>
      </c>
      <c r="E48" s="127">
        <f>IF(F23=2,I20*Ceny!H47,I20*Ceny!F47)</f>
        <v>1098.021</v>
      </c>
      <c r="F48" s="111"/>
      <c r="G48" s="111"/>
      <c r="H48" s="80">
        <f>SUM(H46:H47)</f>
        <v>0</v>
      </c>
      <c r="I48" s="30">
        <f>SUM(I46:I47)</f>
        <v>0</v>
      </c>
      <c r="J48" s="144">
        <f>IF(H48&gt;0,I48/H48-1,0)</f>
        <v>0</v>
      </c>
      <c r="K48" s="125" t="str">
        <f t="shared" si="2"/>
        <v xml:space="preserve"> </v>
      </c>
      <c r="L48" s="2"/>
    </row>
    <row r="49" spans="1:14" ht="12.75" customHeight="1">
      <c r="A49" s="72"/>
      <c r="B49" s="33"/>
      <c r="C49" s="9"/>
      <c r="D49" s="114">
        <f>IF(F23=2,I11*Ceny!G18,I11*Ceny!E18)</f>
        <v>1022.6587032</v>
      </c>
      <c r="E49" s="114">
        <f>IF(F23=2,I11*Ceny!G25,I11*Ceny!E25)</f>
        <v>887.90236319999997</v>
      </c>
      <c r="F49" s="114">
        <f>IF(F23=2,I11*Ceny!G32,I11*Ceny!E32)</f>
        <v>1022.5445592000001</v>
      </c>
      <c r="G49" s="114">
        <f>IF(F23=2,I11*Ceny!G53,I11*Ceny!E53)</f>
        <v>494.33188320000005</v>
      </c>
      <c r="H49" s="81"/>
      <c r="I49" s="31" t="s">
        <v>38</v>
      </c>
      <c r="J49" s="85">
        <f>I48-H48</f>
        <v>0</v>
      </c>
      <c r="K49" s="125"/>
      <c r="L49" s="2"/>
    </row>
    <row r="50" spans="1:14" ht="12.75" customHeight="1">
      <c r="A50" s="72"/>
      <c r="B50" s="8">
        <v>2</v>
      </c>
      <c r="C50" s="9" t="s">
        <v>34</v>
      </c>
      <c r="D50" s="114">
        <f>IF(F23=2,I20*Ceny!G20,I20*Ceny!E20)</f>
        <v>274.536</v>
      </c>
      <c r="E50" s="114">
        <f>IF(F23=2,I20*Ceny!G27,I20*Ceny!E27)</f>
        <v>308.976</v>
      </c>
      <c r="F50" s="114">
        <f>IF(F23=2,I20*Ceny!G34,I20*Ceny!E34)</f>
        <v>269.86200000000002</v>
      </c>
      <c r="G50" s="114">
        <f>IF(F23=2,I20*Ceny!G55,I20*Ceny!E55)</f>
        <v>171.46199999999999</v>
      </c>
      <c r="H50" s="135">
        <f>IF(F20=1,0,(IF(E15=1,D49,IF(E15=2,E49,IF(E15=3,F49,IF(E15=4,G49,0))))))</f>
        <v>0</v>
      </c>
      <c r="I50" s="29">
        <f>IF(F20=1,0,IF(E15=1,D51,IF(E15=2,E51,IF(E15=3,F51,IF(E15=4,G51,0)))))</f>
        <v>0</v>
      </c>
      <c r="J50" s="143">
        <f>IF(H50&gt;0,I50/H50-1,0)</f>
        <v>0</v>
      </c>
      <c r="K50" s="125" t="str">
        <f t="shared" si="2"/>
        <v xml:space="preserve"> </v>
      </c>
      <c r="L50" s="2"/>
    </row>
    <row r="51" spans="1:14" ht="12.75" customHeight="1">
      <c r="A51" s="72"/>
      <c r="B51" s="33"/>
      <c r="C51" s="58" t="s">
        <v>35</v>
      </c>
      <c r="D51" s="115">
        <f>IF(F23=2,I11*Ceny!H18,I11*Ceny!F18)</f>
        <v>1022.6587032</v>
      </c>
      <c r="E51" s="115">
        <f>IF(F23=2,I11*Ceny!H25,I11*Ceny!F25)</f>
        <v>887.90236319999997</v>
      </c>
      <c r="F51" s="115">
        <f>IF(F23=2,I11*Ceny!H32,I11*Ceny!F32)</f>
        <v>1022.5445592000001</v>
      </c>
      <c r="G51" s="115">
        <f>IF(F23=2,I11*Ceny!H53,I11*Ceny!F53)</f>
        <v>494.33188320000005</v>
      </c>
      <c r="H51" s="86">
        <f>IF(F20=2,IF(E15=1,D50,IF(E15=2,E50,IF(E15=3,F50,IF(E15=4,G50,0)))),H35*0)</f>
        <v>0</v>
      </c>
      <c r="I51" s="55">
        <f>IF(F20=2,IF(E15=1,D52,IF(E15=2,E52,IF(E15=3,F52,IF(E15=4,G52,0)))),I35*0)</f>
        <v>0</v>
      </c>
      <c r="J51" s="145">
        <f>IF(H51&gt;0,I51/H51-1,0)</f>
        <v>0</v>
      </c>
      <c r="K51" s="125" t="str">
        <f>IF(H51&lt;&gt;I51,"þ"," ")</f>
        <v xml:space="preserve"> </v>
      </c>
      <c r="L51" s="2"/>
    </row>
    <row r="52" spans="1:14" ht="12.75" customHeight="1">
      <c r="A52" s="72"/>
      <c r="B52" s="33"/>
      <c r="C52" s="12" t="s">
        <v>42</v>
      </c>
      <c r="D52" s="116">
        <f>IF(F23=2,I20*Ceny!H20,I20*Ceny!F20)</f>
        <v>274.536</v>
      </c>
      <c r="E52" s="116">
        <f>IF(F23=2,I20*Ceny!H27,I20*Ceny!F27)</f>
        <v>308.976</v>
      </c>
      <c r="F52" s="116">
        <f>IF(F23=2,I20*Ceny!H34,I20*Ceny!F34)</f>
        <v>269.86200000000002</v>
      </c>
      <c r="G52" s="116">
        <f>IF(F23=2,I20*Ceny!H55,I20*Ceny!F55)</f>
        <v>171.46199999999999</v>
      </c>
      <c r="H52" s="80">
        <f>SUM(H50:H51)</f>
        <v>0</v>
      </c>
      <c r="I52" s="30">
        <f>SUM(I50:I51)</f>
        <v>0</v>
      </c>
      <c r="J52" s="144">
        <f>IF(H52&gt;0,I52/H52-1,0)</f>
        <v>0</v>
      </c>
      <c r="K52" s="125" t="str">
        <f t="shared" si="2"/>
        <v xml:space="preserve"> </v>
      </c>
      <c r="L52" s="2"/>
      <c r="N52" s="3"/>
    </row>
    <row r="53" spans="1:14" ht="12.75" customHeight="1">
      <c r="A53" s="72"/>
      <c r="B53" s="33"/>
      <c r="C53" s="34"/>
      <c r="D53" s="158"/>
      <c r="E53" s="158"/>
      <c r="F53" s="158"/>
      <c r="G53" s="158"/>
      <c r="H53" s="77"/>
      <c r="I53" s="91"/>
      <c r="J53" s="92"/>
      <c r="K53" s="68"/>
      <c r="L53" s="2"/>
      <c r="N53" s="153"/>
    </row>
    <row r="54" spans="1:14" ht="12.75" customHeight="1">
      <c r="A54" s="72"/>
      <c r="B54" s="35">
        <v>3</v>
      </c>
      <c r="C54" s="36"/>
      <c r="D54" s="158"/>
      <c r="E54" s="158"/>
      <c r="F54" s="158"/>
      <c r="G54" s="158"/>
      <c r="H54" s="94"/>
      <c r="I54" s="94"/>
      <c r="J54" s="95"/>
      <c r="K54" s="68"/>
      <c r="L54" s="2"/>
    </row>
    <row r="55" spans="1:14" ht="12.75" customHeight="1">
      <c r="A55" s="72"/>
      <c r="B55" s="33"/>
      <c r="C55" s="59"/>
      <c r="D55" s="159"/>
      <c r="E55" s="159"/>
      <c r="F55" s="159"/>
      <c r="G55" s="159"/>
      <c r="H55" s="96"/>
      <c r="I55" s="97"/>
      <c r="J55" s="98"/>
      <c r="K55" s="68"/>
      <c r="L55" s="2"/>
    </row>
    <row r="56" spans="1:14" ht="12.75" customHeight="1">
      <c r="A56" s="72"/>
      <c r="B56" s="6"/>
      <c r="C56" s="56" t="s">
        <v>69</v>
      </c>
      <c r="D56" s="96"/>
      <c r="E56" s="96"/>
      <c r="F56" s="96"/>
      <c r="G56" s="96"/>
      <c r="H56" s="79">
        <f>H48+H52+H54</f>
        <v>0</v>
      </c>
      <c r="I56" s="57">
        <f>I48+I52+I54</f>
        <v>0</v>
      </c>
      <c r="J56" s="146">
        <f>IF(H56&gt;0,I56/H56-1,0)</f>
        <v>0</v>
      </c>
      <c r="K56" s="125" t="str">
        <f t="shared" ref="K56" si="3">IF(H56&lt;&gt;I56,"þ"," ")</f>
        <v xml:space="preserve"> </v>
      </c>
      <c r="L56" s="2"/>
    </row>
    <row r="57" spans="1:14" ht="12.75" customHeight="1">
      <c r="A57" s="72"/>
      <c r="B57" s="4"/>
      <c r="C57" s="4"/>
      <c r="D57" s="77"/>
      <c r="E57" s="77"/>
      <c r="F57" s="77"/>
      <c r="G57" s="77"/>
      <c r="H57" s="5"/>
      <c r="I57" s="87" t="s">
        <v>38</v>
      </c>
      <c r="J57" s="151">
        <f>I56-H56</f>
        <v>0</v>
      </c>
      <c r="K57" s="67"/>
      <c r="L57" s="2"/>
    </row>
    <row r="58" spans="1:14" ht="12.75" customHeight="1" thickBot="1">
      <c r="A58" s="74"/>
      <c r="B58" s="63"/>
      <c r="C58" s="64"/>
      <c r="D58" s="160"/>
      <c r="E58" s="160"/>
      <c r="F58" s="160"/>
      <c r="G58" s="160"/>
      <c r="H58" s="64"/>
      <c r="I58" s="64"/>
      <c r="J58" s="64"/>
      <c r="K58" s="69"/>
    </row>
    <row r="59" spans="1:14" ht="13.5" thickTop="1">
      <c r="A59" s="37"/>
      <c r="B59" s="38"/>
      <c r="C59" s="37"/>
      <c r="D59" s="161"/>
      <c r="E59" s="161"/>
      <c r="F59" s="161"/>
      <c r="G59" s="161"/>
      <c r="H59" s="37"/>
      <c r="I59" s="37"/>
      <c r="J59" s="37"/>
      <c r="K59" s="37"/>
    </row>
    <row r="60" spans="1:14">
      <c r="D60" s="157"/>
      <c r="E60" s="157"/>
      <c r="F60" s="157"/>
      <c r="G60" s="157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2022-12-19T12:01:57Z</cp:lastPrinted>
  <dcterms:created xsi:type="dcterms:W3CDTF">2004-06-09T05:45:51Z</dcterms:created>
  <dcterms:modified xsi:type="dcterms:W3CDTF">2023-09-14T06:39:52Z</dcterms:modified>
</cp:coreProperties>
</file>