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19260" windowHeight="12015"/>
  </bookViews>
  <sheets>
    <sheet name="Ceny" sheetId="1" r:id="rId1"/>
    <sheet name="Kalkulator" sheetId="5" r:id="rId2"/>
  </sheets>
  <calcPr calcId="144525"/>
</workbook>
</file>

<file path=xl/calcChain.xml><?xml version="1.0" encoding="utf-8"?>
<calcChain xmlns="http://schemas.openxmlformats.org/spreadsheetml/2006/main">
  <c r="H45" i="1" l="1"/>
  <c r="H46" i="1"/>
  <c r="G48" i="1"/>
  <c r="G47" i="1"/>
  <c r="G46" i="1"/>
  <c r="G45" i="1"/>
  <c r="G41" i="1"/>
  <c r="G40" i="1"/>
  <c r="G39" i="1"/>
  <c r="J3" i="5"/>
  <c r="J13" i="1"/>
  <c r="H47" i="1"/>
  <c r="H48" i="1"/>
  <c r="C43" i="5"/>
  <c r="C27" i="5"/>
  <c r="I12" i="1" l="1"/>
  <c r="I10" i="1"/>
  <c r="J10" i="1"/>
  <c r="I11" i="1"/>
  <c r="I13" i="1"/>
  <c r="J11" i="1"/>
  <c r="H39" i="1"/>
  <c r="H40" i="1"/>
  <c r="H41" i="1"/>
  <c r="K55" i="1"/>
  <c r="J55" i="1"/>
  <c r="I55" i="1"/>
  <c r="K54" i="1"/>
  <c r="J54" i="1"/>
  <c r="I54" i="1"/>
  <c r="K53" i="1"/>
  <c r="J53" i="1"/>
  <c r="I53" i="1"/>
  <c r="K48" i="1"/>
  <c r="J48" i="1"/>
  <c r="I48" i="1"/>
  <c r="K47" i="1"/>
  <c r="J47" i="1"/>
  <c r="I47" i="1"/>
  <c r="K46" i="1"/>
  <c r="J46" i="1"/>
  <c r="I46" i="1"/>
  <c r="K45" i="1"/>
  <c r="J45" i="1"/>
  <c r="I45" i="1"/>
  <c r="K34" i="1"/>
  <c r="J34" i="1"/>
  <c r="I34" i="1"/>
  <c r="K33" i="1"/>
  <c r="J33" i="1"/>
  <c r="I33" i="1"/>
  <c r="K32" i="1"/>
  <c r="J32" i="1"/>
  <c r="I32" i="1"/>
  <c r="K27" i="1"/>
  <c r="J27" i="1"/>
  <c r="I27" i="1"/>
  <c r="K26" i="1"/>
  <c r="J26" i="1"/>
  <c r="I26" i="1"/>
  <c r="K25" i="1"/>
  <c r="J25" i="1"/>
  <c r="I25" i="1"/>
  <c r="K20" i="1"/>
  <c r="J20" i="1"/>
  <c r="I20" i="1"/>
  <c r="K19" i="1"/>
  <c r="J19" i="1"/>
  <c r="I19" i="1"/>
  <c r="K18" i="1"/>
  <c r="J18" i="1"/>
  <c r="I18" i="1"/>
  <c r="K13" i="1"/>
  <c r="K12" i="1"/>
  <c r="J12" i="1"/>
  <c r="K11" i="1"/>
  <c r="K10" i="1"/>
  <c r="J40" i="1" l="1"/>
  <c r="I41" i="1"/>
  <c r="K41" i="1"/>
  <c r="J41" i="1"/>
  <c r="J39" i="1"/>
  <c r="I40" i="1"/>
  <c r="I39" i="1"/>
  <c r="K40" i="1"/>
  <c r="K39" i="1"/>
  <c r="I50" i="5"/>
  <c r="H50" i="5"/>
  <c r="H46" i="5"/>
  <c r="I46" i="5"/>
  <c r="D5" i="5"/>
  <c r="J2" i="5"/>
  <c r="I20" i="5"/>
  <c r="F36" i="5" s="1"/>
  <c r="I11" i="5"/>
  <c r="E51" i="5" s="1"/>
  <c r="I22" i="5"/>
  <c r="J46" i="5" l="1"/>
  <c r="E29" i="5"/>
  <c r="F35" i="5"/>
  <c r="G35" i="5"/>
  <c r="E33" i="5"/>
  <c r="D31" i="5"/>
  <c r="G49" i="5"/>
  <c r="D45" i="5"/>
  <c r="E49" i="5"/>
  <c r="D51" i="5"/>
  <c r="E47" i="5"/>
  <c r="D49" i="5"/>
  <c r="F51" i="5"/>
  <c r="G51" i="5"/>
  <c r="D29" i="5"/>
  <c r="E45" i="5"/>
  <c r="F49" i="5"/>
  <c r="D33" i="5"/>
  <c r="E35" i="5"/>
  <c r="E31" i="5"/>
  <c r="G33" i="5"/>
  <c r="H34" i="5" s="1"/>
  <c r="D47" i="5"/>
  <c r="F33" i="5"/>
  <c r="D35" i="5"/>
  <c r="D30" i="5"/>
  <c r="D48" i="5"/>
  <c r="D34" i="5"/>
  <c r="G52" i="5"/>
  <c r="D36" i="5"/>
  <c r="G36" i="5"/>
  <c r="E30" i="5"/>
  <c r="E48" i="5"/>
  <c r="F52" i="5"/>
  <c r="D50" i="5"/>
  <c r="E36" i="5"/>
  <c r="G50" i="5"/>
  <c r="G34" i="5"/>
  <c r="D32" i="5"/>
  <c r="F50" i="5"/>
  <c r="E50" i="5"/>
  <c r="E52" i="5"/>
  <c r="E32" i="5"/>
  <c r="D46" i="5"/>
  <c r="E34" i="5"/>
  <c r="D52" i="5"/>
  <c r="K46" i="5"/>
  <c r="J50" i="5"/>
  <c r="K50" i="5"/>
  <c r="E46" i="5"/>
  <c r="F34" i="5"/>
  <c r="I34" i="5" l="1"/>
  <c r="I30" i="5"/>
  <c r="H30" i="5"/>
  <c r="H47" i="5"/>
  <c r="H48" i="5" s="1"/>
  <c r="H31" i="5"/>
  <c r="I47" i="5"/>
  <c r="I48" i="5" s="1"/>
  <c r="H35" i="5"/>
  <c r="H36" i="5" s="1"/>
  <c r="I31" i="5"/>
  <c r="I35" i="5"/>
  <c r="J34" i="5"/>
  <c r="K34" i="5"/>
  <c r="J30" i="5" l="1"/>
  <c r="K30" i="5"/>
  <c r="H32" i="5"/>
  <c r="H40" i="5" s="1"/>
  <c r="J47" i="5"/>
  <c r="J48" i="5"/>
  <c r="K47" i="5"/>
  <c r="J35" i="5"/>
  <c r="H51" i="5"/>
  <c r="H52" i="5" s="1"/>
  <c r="H56" i="5" s="1"/>
  <c r="I32" i="5"/>
  <c r="J31" i="5"/>
  <c r="K31" i="5"/>
  <c r="I51" i="5"/>
  <c r="K35" i="5"/>
  <c r="I36" i="5"/>
  <c r="J36" i="5" s="1"/>
  <c r="J49" i="5"/>
  <c r="K48" i="5"/>
  <c r="J51" i="5" l="1"/>
  <c r="K51" i="5"/>
  <c r="I52" i="5"/>
  <c r="J52" i="5" s="1"/>
  <c r="K32" i="5"/>
  <c r="I40" i="5"/>
  <c r="J33" i="5"/>
  <c r="J32" i="5"/>
  <c r="K36" i="5"/>
  <c r="H28" i="5" l="1"/>
  <c r="K40" i="5"/>
  <c r="J41" i="5"/>
  <c r="J40" i="5"/>
  <c r="K52" i="5"/>
  <c r="I56" i="5"/>
  <c r="J56" i="5" s="1"/>
  <c r="H29" i="5" l="1"/>
  <c r="I29" i="5" s="1"/>
  <c r="I28" i="5"/>
  <c r="H44" i="5"/>
  <c r="J57" i="5"/>
  <c r="K56" i="5"/>
  <c r="H45" i="5" l="1"/>
  <c r="I45" i="5" s="1"/>
  <c r="I44" i="5"/>
</calcChain>
</file>

<file path=xl/sharedStrings.xml><?xml version="1.0" encoding="utf-8"?>
<sst xmlns="http://schemas.openxmlformats.org/spreadsheetml/2006/main" count="179" uniqueCount="79">
  <si>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</si>
  <si>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</si>
  <si>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</si>
  <si>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</si>
  <si>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</si>
  <si>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</si>
  <si>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</si>
  <si>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</si>
  <si>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</si>
  <si>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</si>
  <si>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</si>
  <si>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</si>
  <si>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</si>
  <si>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</si>
  <si>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</si>
  <si>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</si>
  <si>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</si>
  <si>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</si>
  <si>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</si>
  <si>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</si>
  <si>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</si>
  <si>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</si>
  <si>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</si>
  <si>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</si>
  <si>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</si>
  <si>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</si>
  <si>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</si>
  <si>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</si>
  <si>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</si>
  <si>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</si>
  <si>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</si>
  <si>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</si>
  <si>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</si>
  <si>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</si>
  <si>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</si>
  <si>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</si>
  <si>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</si>
  <si>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</si>
  <si>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</si>
  <si>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</si>
  <si>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</si>
  <si>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</si>
  <si>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</si>
  <si>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</si>
  <si>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</si>
  <si>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</si>
  <si>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</si>
  <si>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</si>
  <si>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</si>
  <si>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</si>
  <si>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</si>
  <si>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</si>
  <si>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</si>
  <si>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</si>
  <si>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</si>
  <si>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</si>
  <si>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</si>
  <si>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</si>
  <si>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</si>
  <si>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</si>
  <si>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</si>
  <si>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SUMA OPŁAT ROCZNYCH Z VAT = 23%</t>
  </si>
  <si>
    <t>SUMA OPŁAT MIESIĘCZNYCH Z VAT = 23%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</si>
  <si>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</si>
  <si>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</si>
  <si>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</si>
  <si>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</si>
  <si>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</si>
  <si>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</si>
  <si>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</si>
  <si>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</si>
  <si>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od 20-11-01</t>
  </si>
  <si>
    <t>do 21-01-31</t>
  </si>
  <si>
    <t>od 21-02-01</t>
  </si>
  <si>
    <t>do 21-08-08</t>
  </si>
  <si>
    <t>od 21-08-09</t>
  </si>
  <si>
    <t>Nowa taryfa dla ciepła MPEC-KONIN Sp. z o.o. obowiązująca od dnia 2021-09-06</t>
  </si>
  <si>
    <t>do 21-09-05</t>
  </si>
  <si>
    <t>od 21-09-06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</si>
</sst>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#,##0.00\ &quot;zł&quot;"/>
    <numFmt numFmtId="167" formatCode="0.0%"/>
  </numFmts>
  <fonts count="48" x14ac:knownFonts="1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  <font>
      <sz val="8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4" fontId="18" fillId="0" borderId="0" xfId="0" applyNumberFormat="1" applyFont="1" applyFill="1" applyBorder="1"/>
    <xf numFmtId="4" fontId="8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0" fillId="0" borderId="0" xfId="0" applyBorder="1"/>
    <xf numFmtId="166" fontId="21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left" vertical="center"/>
    </xf>
    <xf numFmtId="1" fontId="28" fillId="2" borderId="2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1" fontId="32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8" fillId="0" borderId="4" xfId="0" applyNumberFormat="1" applyFont="1" applyFill="1" applyBorder="1"/>
    <xf numFmtId="0" fontId="4" fillId="0" borderId="4" xfId="0" applyFont="1" applyFill="1" applyBorder="1"/>
    <xf numFmtId="4" fontId="8" fillId="0" borderId="4" xfId="0" applyNumberFormat="1" applyFont="1" applyFill="1" applyBorder="1" applyAlignment="1"/>
    <xf numFmtId="0" fontId="6" fillId="0" borderId="4" xfId="0" applyFont="1" applyFill="1" applyBorder="1"/>
    <xf numFmtId="0" fontId="22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0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6" fillId="0" borderId="9" xfId="0" applyFont="1" applyFill="1" applyBorder="1"/>
    <xf numFmtId="0" fontId="22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3" fillId="0" borderId="13" xfId="0" applyFont="1" applyFill="1" applyBorder="1"/>
    <xf numFmtId="0" fontId="0" fillId="0" borderId="14" xfId="0" applyFill="1" applyBorder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0" fillId="0" borderId="0" xfId="0" applyFont="1" applyFill="1" applyBorder="1"/>
    <xf numFmtId="1" fontId="33" fillId="2" borderId="3" xfId="0" applyNumberFormat="1" applyFont="1" applyFill="1" applyBorder="1" applyAlignment="1">
      <alignment horizontal="center" vertical="center"/>
    </xf>
    <xf numFmtId="4" fontId="34" fillId="0" borderId="4" xfId="0" applyNumberFormat="1" applyFont="1" applyFill="1" applyBorder="1"/>
    <xf numFmtId="4" fontId="34" fillId="0" borderId="0" xfId="0" applyNumberFormat="1" applyFont="1" applyFill="1" applyBorder="1"/>
    <xf numFmtId="0" fontId="35" fillId="0" borderId="0" xfId="0" applyFont="1" applyFill="1" applyBorder="1"/>
    <xf numFmtId="1" fontId="16" fillId="2" borderId="2" xfId="0" applyNumberFormat="1" applyFont="1" applyFill="1" applyBorder="1" applyAlignment="1">
      <alignment horizontal="left" vertical="center"/>
    </xf>
    <xf numFmtId="4" fontId="36" fillId="0" borderId="5" xfId="0" applyNumberFormat="1" applyFont="1" applyFill="1" applyBorder="1"/>
    <xf numFmtId="0" fontId="27" fillId="0" borderId="0" xfId="0" applyFont="1" applyFill="1" applyBorder="1"/>
    <xf numFmtId="166" fontId="12" fillId="0" borderId="0" xfId="0" applyNumberFormat="1" applyFont="1" applyFill="1" applyBorder="1" applyAlignment="1">
      <alignment horizontal="center"/>
    </xf>
    <xf numFmtId="4" fontId="35" fillId="0" borderId="4" xfId="0" applyNumberFormat="1" applyFont="1" applyFill="1" applyBorder="1"/>
    <xf numFmtId="0" fontId="27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29" fillId="0" borderId="0" xfId="0" applyFont="1" applyFill="1" applyBorder="1" applyAlignment="1">
      <alignment horizontal="right"/>
    </xf>
    <xf numFmtId="166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/>
    <xf numFmtId="4" fontId="29" fillId="0" borderId="0" xfId="0" applyNumberFormat="1" applyFont="1" applyFill="1" applyBorder="1"/>
    <xf numFmtId="9" fontId="29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29" fillId="0" borderId="4" xfId="0" applyFont="1" applyFill="1" applyBorder="1" applyAlignment="1">
      <alignment horizontal="right"/>
    </xf>
    <xf numFmtId="4" fontId="20" fillId="0" borderId="4" xfId="0" applyNumberFormat="1" applyFont="1" applyFill="1" applyBorder="1"/>
    <xf numFmtId="166" fontId="21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7" fillId="0" borderId="0" xfId="0" applyFont="1" applyFill="1" applyBorder="1" applyAlignment="1">
      <alignment horizontal="center"/>
    </xf>
    <xf numFmtId="0" fontId="37" fillId="0" borderId="0" xfId="0" applyFont="1"/>
    <xf numFmtId="0" fontId="37" fillId="0" borderId="0" xfId="0" applyFont="1" applyFill="1" applyBorder="1"/>
    <xf numFmtId="9" fontId="38" fillId="0" borderId="0" xfId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4" xfId="0" applyFont="1" applyFill="1" applyBorder="1" applyAlignment="1">
      <alignment horizontal="center"/>
    </xf>
    <xf numFmtId="0" fontId="38" fillId="0" borderId="0" xfId="0" applyFont="1" applyFill="1" applyBorder="1"/>
    <xf numFmtId="2" fontId="38" fillId="0" borderId="0" xfId="0" applyNumberFormat="1" applyFont="1" applyFill="1" applyBorder="1" applyAlignment="1">
      <alignment horizontal="right"/>
    </xf>
    <xf numFmtId="2" fontId="38" fillId="0" borderId="4" xfId="0" applyNumberFormat="1" applyFont="1" applyFill="1" applyBorder="1" applyAlignment="1">
      <alignment horizontal="right"/>
    </xf>
    <xf numFmtId="2" fontId="38" fillId="0" borderId="0" xfId="0" applyNumberFormat="1" applyFont="1" applyAlignment="1">
      <alignment horizontal="right"/>
    </xf>
    <xf numFmtId="0" fontId="38" fillId="0" borderId="4" xfId="0" applyFont="1" applyFill="1" applyBorder="1"/>
    <xf numFmtId="0" fontId="37" fillId="0" borderId="4" xfId="0" applyFont="1" applyFill="1" applyBorder="1"/>
    <xf numFmtId="0" fontId="39" fillId="0" borderId="0" xfId="0" applyFont="1" applyFill="1" applyBorder="1"/>
    <xf numFmtId="1" fontId="38" fillId="2" borderId="2" xfId="0" applyNumberFormat="1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0" fontId="38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8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6" fillId="0" borderId="16" xfId="0" applyFont="1" applyBorder="1" applyAlignment="1">
      <alignment horizontal="center"/>
    </xf>
    <xf numFmtId="49" fontId="10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1" fillId="0" borderId="0" xfId="0" applyNumberFormat="1" applyFont="1" applyFill="1" applyBorder="1" applyAlignment="1">
      <alignment horizontal="center"/>
    </xf>
    <xf numFmtId="4" fontId="42" fillId="4" borderId="5" xfId="0" applyNumberFormat="1" applyFont="1" applyFill="1" applyBorder="1"/>
    <xf numFmtId="4" fontId="35" fillId="0" borderId="0" xfId="0" applyNumberFormat="1" applyFont="1" applyFill="1" applyBorder="1"/>
    <xf numFmtId="4" fontId="43" fillId="4" borderId="0" xfId="0" applyNumberFormat="1" applyFont="1" applyFill="1" applyBorder="1"/>
    <xf numFmtId="167" fontId="38" fillId="0" borderId="0" xfId="1" applyNumberFormat="1" applyFont="1" applyFill="1" applyBorder="1" applyAlignment="1">
      <alignment horizontal="center"/>
    </xf>
    <xf numFmtId="166" fontId="38" fillId="0" borderId="0" xfId="1" applyNumberFormat="1" applyFont="1" applyFill="1" applyBorder="1" applyAlignment="1">
      <alignment horizontal="right"/>
    </xf>
    <xf numFmtId="4" fontId="45" fillId="0" borderId="5" xfId="0" applyNumberFormat="1" applyFont="1" applyFill="1" applyBorder="1"/>
    <xf numFmtId="4" fontId="44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8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0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0" fillId="0" borderId="4" xfId="1" applyNumberFormat="1" applyFont="1" applyFill="1" applyBorder="1" applyAlignment="1">
      <alignment horizontal="center"/>
    </xf>
    <xf numFmtId="4" fontId="42" fillId="0" borderId="5" xfId="0" applyNumberFormat="1" applyFont="1" applyFill="1" applyBorder="1"/>
    <xf numFmtId="4" fontId="44" fillId="0" borderId="5" xfId="0" applyNumberFormat="1" applyFont="1" applyFill="1" applyBorder="1"/>
    <xf numFmtId="4" fontId="38" fillId="0" borderId="5" xfId="0" applyNumberFormat="1" applyFont="1" applyFill="1" applyBorder="1"/>
    <xf numFmtId="4" fontId="46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9479095209324"/>
          <c:y val="0.20588235294117646"/>
          <c:w val="0.24539950812256794"/>
          <c:h val="0.588235294117638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8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33" r="0.750000000000007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65"/>
          <c:h val="0.588235294117638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33" r="0.750000000000007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9479095209328"/>
          <c:y val="0.20588235294117646"/>
          <c:w val="0.24539950812256794"/>
          <c:h val="0.588235294117638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7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0.66365900951174017</c:v>
                </c:pt>
                <c:pt idx="1">
                  <c:v>0.33634099048825983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55" r="0.7500000000000075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79"/>
          <c:h val="0.588235294117638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0.33734099048825983</c:v>
                </c:pt>
                <c:pt idx="1">
                  <c:v>0.66265900951174017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55" r="0.75000000000000755" t="1" header="0.5" footer="0.5"/>
    <c:pageSetup/>
  </c:printSettings>
</c:chartSpace>
</file>

<file path=xl/ctrlProps/ctrlProp1.xml><?xml version="1.0" encoding="utf-8"?>
<formControlPr xmlns="http://schemas.microsoft.com/office/spreadsheetml/2009/9/main" objectType="Spin" dx="15" fmlaLink="$E$11" max="30000" page="10" val="8"/>
</file>

<file path=xl/ctrlProps/ctrlProp10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Spin" dx="15" fmlaLink="$E$20" max="30000" page="10" val="20"/>
</file>

<file path=xl/ctrlProps/ctrlProp3.xml><?xml version="1.0" encoding="utf-8"?>
<formControlPr xmlns="http://schemas.microsoft.com/office/spreadsheetml/2009/9/main" objectType="Radio" checked="Checked" firstButton="1" fmlaLink="$E$15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checked="Checked" firstButton="1" fmlaLink="$F$20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9</xdr:row>
          <xdr:rowOff>47625</xdr:rowOff>
        </xdr:from>
        <xdr:to>
          <xdr:col>5</xdr:col>
          <xdr:colOff>133350</xdr:colOff>
          <xdr:row>11</xdr:row>
          <xdr:rowOff>104775</xdr:rowOff>
        </xdr:to>
        <xdr:sp macro="" textlink="">
          <xdr:nvSpPr>
            <xdr:cNvPr id="3074" name="Spinner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18</xdr:row>
          <xdr:rowOff>47625</xdr:rowOff>
        </xdr:from>
        <xdr:to>
          <xdr:col>5</xdr:col>
          <xdr:colOff>133350</xdr:colOff>
          <xdr:row>20</xdr:row>
          <xdr:rowOff>104775</xdr:rowOff>
        </xdr:to>
        <xdr:sp macro="" textlink="">
          <xdr:nvSpPr>
            <xdr:cNvPr id="3075" name="Spinner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95250</xdr:rowOff>
        </xdr:from>
        <xdr:to>
          <xdr:col>5</xdr:col>
          <xdr:colOff>323850</xdr:colOff>
          <xdr:row>14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13</xdr:row>
          <xdr:rowOff>123825</xdr:rowOff>
        </xdr:from>
        <xdr:to>
          <xdr:col>5</xdr:col>
          <xdr:colOff>323850</xdr:colOff>
          <xdr:row>15</xdr:row>
          <xdr:rowOff>28575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A2/A3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15</xdr:row>
          <xdr:rowOff>0</xdr:rowOff>
        </xdr:from>
        <xdr:to>
          <xdr:col>5</xdr:col>
          <xdr:colOff>323850</xdr:colOff>
          <xdr:row>16</xdr:row>
          <xdr:rowOff>66675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12</xdr:row>
          <xdr:rowOff>47625</xdr:rowOff>
        </xdr:from>
        <xdr:to>
          <xdr:col>10</xdr:col>
          <xdr:colOff>219075</xdr:colOff>
          <xdr:row>17</xdr:row>
          <xdr:rowOff>152400</xdr:rowOff>
        </xdr:to>
        <xdr:sp macro="" textlink="">
          <xdr:nvSpPr>
            <xdr:cNvPr id="3086" name="Group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Odbiorcy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18</xdr:row>
          <xdr:rowOff>57150</xdr:rowOff>
        </xdr:from>
        <xdr:to>
          <xdr:col>7</xdr:col>
          <xdr:colOff>438150</xdr:colOff>
          <xdr:row>21</xdr:row>
          <xdr:rowOff>66675</xdr:rowOff>
        </xdr:to>
        <xdr:sp macro="" textlink="">
          <xdr:nvSpPr>
            <xdr:cNvPr id="3087" name="Group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Zużycie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609600</xdr:colOff>
          <xdr:row>18</xdr:row>
          <xdr:rowOff>104775</xdr:rowOff>
        </xdr:from>
        <xdr:to>
          <xdr:col>7</xdr:col>
          <xdr:colOff>285750</xdr:colOff>
          <xdr:row>21</xdr:row>
          <xdr:rowOff>38100</xdr:rowOff>
        </xdr:to>
        <xdr:grpSp>
          <xdr:nvGrpSpPr>
            <xdr:cNvPr id="3093" name="Group 21"/>
            <xdr:cNvGrpSpPr>
              <a:grpSpLocks/>
            </xdr:cNvGrpSpPr>
          </xdr:nvGrpSpPr>
          <xdr:grpSpPr bwMode="auto">
            <a:xfrm>
              <a:off x="3686175" y="3219450"/>
              <a:ext cx="933450" cy="419100"/>
              <a:chOff x="374" y="323"/>
              <a:chExt cx="102" cy="44"/>
            </a:xfrm>
          </xdr:grpSpPr>
          <xdr:sp macro="" textlink="">
            <xdr:nvSpPr>
              <xdr:cNvPr id="3089" name="Option Button 17" hidden="1">
                <a:extLst>
                  <a:ext uri="{63B3BB69-23CF-44E3-9099-C40C66FF867C}">
                    <a14:compatExt spid="_x0000_s3089"/>
                  </a:ext>
                </a:extLst>
              </xdr:cNvPr>
              <xdr:cNvSpPr/>
            </xdr:nvSpPr>
            <xdr:spPr>
              <a:xfrm>
                <a:off x="374" y="323"/>
                <a:ext cx="102" cy="24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Miesięczne</a:t>
                </a:r>
              </a:p>
            </xdr:txBody>
          </xdr:sp>
          <xdr:sp macro="" textlink="">
            <xdr:nvSpPr>
              <xdr:cNvPr id="3090" name="Option Button 18" hidden="1">
                <a:extLst>
                  <a:ext uri="{63B3BB69-23CF-44E3-9099-C40C66FF867C}">
                    <a14:compatExt spid="_x0000_s3090"/>
                  </a:ext>
                </a:extLst>
              </xdr:cNvPr>
              <xdr:cNvSpPr/>
            </xdr:nvSpPr>
            <xdr:spPr>
              <a:xfrm>
                <a:off x="374" y="343"/>
                <a:ext cx="102" cy="24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Roczne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16</xdr:row>
          <xdr:rowOff>38100</xdr:rowOff>
        </xdr:from>
        <xdr:to>
          <xdr:col>5</xdr:col>
          <xdr:colOff>323850</xdr:colOff>
          <xdr:row>17</xdr:row>
          <xdr:rowOff>104775</xdr:rowOff>
        </xdr:to>
        <xdr:sp macro="" textlink="">
          <xdr:nvSpPr>
            <xdr:cNvPr id="3098" name="Option Button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57"/>
  <sheetViews>
    <sheetView showGridLines="0" tabSelected="1" workbookViewId="0">
      <selection activeCell="D6" sqref="D6"/>
    </sheetView>
  </sheetViews>
  <sheetFormatPr defaultRowHeight="12.75" x14ac:dyDescent="0.2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 x14ac:dyDescent="0.2">
      <c r="A1" s="134"/>
      <c r="B1" s="135" t="s">
        <v>47</v>
      </c>
      <c r="C1" s="136" t="s">
        <v>51</v>
      </c>
      <c r="D1" s="137"/>
      <c r="E1" s="137"/>
      <c r="F1" s="137"/>
      <c r="G1" s="137"/>
      <c r="H1" s="137"/>
      <c r="I1" s="137"/>
      <c r="J1" s="137"/>
      <c r="K1" s="138"/>
    </row>
    <row r="2" spans="1:11" ht="12.75" customHeight="1" x14ac:dyDescent="0.2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v>44445</v>
      </c>
      <c r="K2" s="71"/>
    </row>
    <row r="3" spans="1:11" ht="18" customHeight="1" x14ac:dyDescent="0.2">
      <c r="A3" s="77"/>
      <c r="B3" s="51"/>
      <c r="C3" s="54" t="s">
        <v>38</v>
      </c>
      <c r="D3" s="52"/>
      <c r="E3" s="52"/>
      <c r="F3" s="52"/>
      <c r="G3" s="52"/>
      <c r="H3" s="52"/>
      <c r="I3" s="52"/>
      <c r="J3" s="83">
        <v>2021</v>
      </c>
      <c r="K3" s="71"/>
    </row>
    <row r="4" spans="1:11" ht="18" customHeight="1" x14ac:dyDescent="0.2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 x14ac:dyDescent="0.2">
      <c r="A5" s="77"/>
      <c r="B5" s="6"/>
      <c r="C5" s="7" t="s">
        <v>50</v>
      </c>
      <c r="D5" s="47" t="s">
        <v>76</v>
      </c>
      <c r="E5" s="47"/>
      <c r="F5" s="47"/>
      <c r="G5" s="47"/>
      <c r="H5" s="47"/>
      <c r="I5" s="47"/>
      <c r="J5" s="50"/>
      <c r="K5" s="71"/>
    </row>
    <row r="6" spans="1:11" ht="12.75" customHeight="1" x14ac:dyDescent="0.2">
      <c r="A6" s="77"/>
      <c r="D6" s="142"/>
      <c r="E6" s="45" t="s">
        <v>51</v>
      </c>
      <c r="F6" s="4"/>
      <c r="G6" s="4"/>
      <c r="H6" s="4"/>
      <c r="I6" s="4"/>
      <c r="J6" s="4"/>
      <c r="K6" s="71"/>
    </row>
    <row r="7" spans="1:11" ht="18" customHeight="1" x14ac:dyDescent="0.25">
      <c r="A7" s="77"/>
      <c r="B7" s="80" t="s">
        <v>17</v>
      </c>
      <c r="C7" s="81" t="s">
        <v>67</v>
      </c>
      <c r="D7" s="46"/>
      <c r="E7" s="45"/>
      <c r="F7" s="82"/>
      <c r="G7" s="82"/>
      <c r="H7" s="82"/>
      <c r="I7" s="82"/>
      <c r="J7" s="82"/>
      <c r="K7" s="71"/>
    </row>
    <row r="8" spans="1:11" ht="12.75" customHeight="1" x14ac:dyDescent="0.2">
      <c r="A8" s="77"/>
      <c r="B8" s="51"/>
      <c r="C8" s="52"/>
      <c r="D8" s="52"/>
      <c r="E8" s="52" t="s">
        <v>2</v>
      </c>
      <c r="F8" s="52"/>
      <c r="G8" s="87" t="s">
        <v>3</v>
      </c>
      <c r="H8" s="52"/>
      <c r="I8" s="52"/>
      <c r="J8" s="53"/>
      <c r="K8" s="71"/>
    </row>
    <row r="9" spans="1:11" ht="12.75" customHeight="1" x14ac:dyDescent="0.2">
      <c r="A9" s="77"/>
      <c r="B9" s="8" t="s">
        <v>0</v>
      </c>
      <c r="C9" s="9" t="s">
        <v>12</v>
      </c>
      <c r="D9" s="8" t="s">
        <v>1</v>
      </c>
      <c r="E9" s="116" t="s">
        <v>74</v>
      </c>
      <c r="F9" s="44" t="s">
        <v>75</v>
      </c>
      <c r="G9" s="116" t="s">
        <v>74</v>
      </c>
      <c r="H9" s="44" t="s">
        <v>75</v>
      </c>
      <c r="I9" s="116" t="s">
        <v>9</v>
      </c>
      <c r="J9" s="116" t="s">
        <v>40</v>
      </c>
      <c r="K9" s="71"/>
    </row>
    <row r="10" spans="1:11" ht="12.75" customHeight="1" x14ac:dyDescent="0.2">
      <c r="A10" s="77"/>
      <c r="B10" s="6">
        <v>1</v>
      </c>
      <c r="C10" s="4" t="s">
        <v>10</v>
      </c>
      <c r="D10" s="13" t="s">
        <v>5</v>
      </c>
      <c r="E10" s="155">
        <v>124456.11</v>
      </c>
      <c r="F10" s="153">
        <v>124456.11</v>
      </c>
      <c r="G10" s="156">
        <v>153081.01999999999</v>
      </c>
      <c r="H10" s="154">
        <v>153081.01999999999</v>
      </c>
      <c r="I10" s="148">
        <f t="shared" ref="I10:I13" si="0">IF(G10&gt;0,H10/G10-1,"")</f>
        <v>0</v>
      </c>
      <c r="J10" s="144">
        <f t="shared" ref="J10:J11" si="1">IF(G10&gt;0,H10-G10,"")</f>
        <v>0</v>
      </c>
      <c r="K10" s="131" t="str">
        <f>IF(H10&lt;&gt;G10,"þ"," ")</f>
        <v xml:space="preserve"> </v>
      </c>
    </row>
    <row r="11" spans="1:11" ht="12.75" customHeight="1" x14ac:dyDescent="0.2">
      <c r="A11" s="77"/>
      <c r="B11" s="6"/>
      <c r="C11" s="4"/>
      <c r="D11" s="13" t="s">
        <v>6</v>
      </c>
      <c r="E11" s="155">
        <v>10371.34</v>
      </c>
      <c r="F11" s="153">
        <v>10371.34</v>
      </c>
      <c r="G11" s="156">
        <v>12756.75</v>
      </c>
      <c r="H11" s="154">
        <v>12756.75</v>
      </c>
      <c r="I11" s="148">
        <f t="shared" si="0"/>
        <v>0</v>
      </c>
      <c r="J11" s="144">
        <f t="shared" si="1"/>
        <v>0</v>
      </c>
      <c r="K11" s="131" t="str">
        <f>IF(H11&lt;&gt;G11,"þ"," ")</f>
        <v xml:space="preserve"> </v>
      </c>
    </row>
    <row r="12" spans="1:11" ht="12.75" customHeight="1" x14ac:dyDescent="0.2">
      <c r="A12" s="77"/>
      <c r="B12" s="6">
        <v>2</v>
      </c>
      <c r="C12" s="4" t="s">
        <v>11</v>
      </c>
      <c r="D12" s="13" t="s">
        <v>7</v>
      </c>
      <c r="E12" s="155">
        <v>31.56</v>
      </c>
      <c r="F12" s="153">
        <v>31.56</v>
      </c>
      <c r="G12" s="156">
        <v>38.82</v>
      </c>
      <c r="H12" s="154">
        <v>38.82</v>
      </c>
      <c r="I12" s="148">
        <f t="shared" si="0"/>
        <v>0</v>
      </c>
      <c r="J12" s="144">
        <f t="shared" ref="J12" si="2">IF(G12&gt;0,H12-G12,"")</f>
        <v>0</v>
      </c>
      <c r="K12" s="131" t="str">
        <f>IF(H12&lt;&gt;G12,"þ"," ")</f>
        <v xml:space="preserve"> </v>
      </c>
    </row>
    <row r="13" spans="1:11" ht="12.75" customHeight="1" x14ac:dyDescent="0.2">
      <c r="A13" s="77"/>
      <c r="B13" s="6">
        <v>3</v>
      </c>
      <c r="C13" s="4" t="s">
        <v>4</v>
      </c>
      <c r="D13" s="13" t="s">
        <v>8</v>
      </c>
      <c r="E13" s="155">
        <v>6.93</v>
      </c>
      <c r="F13" s="153">
        <v>6.93</v>
      </c>
      <c r="G13" s="156">
        <v>8.52</v>
      </c>
      <c r="H13" s="154">
        <v>8.52</v>
      </c>
      <c r="I13" s="148">
        <f t="shared" si="0"/>
        <v>0</v>
      </c>
      <c r="J13" s="144">
        <f t="shared" ref="J13" si="3">IF(G13&gt;0,H13-G13,"")</f>
        <v>0</v>
      </c>
      <c r="K13" s="131" t="str">
        <f>IF(H13&lt;&gt;G13,"þ"," ")</f>
        <v xml:space="preserve"> </v>
      </c>
    </row>
    <row r="14" spans="1:11" ht="12.75" customHeight="1" x14ac:dyDescent="0.2">
      <c r="A14" s="77"/>
      <c r="B14" s="104" t="s">
        <v>52</v>
      </c>
      <c r="C14" s="4"/>
      <c r="D14" s="4"/>
      <c r="E14" s="4"/>
      <c r="F14" s="4"/>
      <c r="G14" s="4"/>
      <c r="H14" s="4"/>
      <c r="I14" s="4"/>
      <c r="J14" s="4"/>
      <c r="K14" s="71"/>
    </row>
    <row r="15" spans="1:11" ht="18" customHeight="1" x14ac:dyDescent="0.25">
      <c r="A15" s="77"/>
      <c r="B15" s="80" t="s">
        <v>21</v>
      </c>
      <c r="C15" s="81" t="s">
        <v>16</v>
      </c>
      <c r="D15" s="81" t="s">
        <v>63</v>
      </c>
      <c r="E15" s="82"/>
      <c r="F15" s="82"/>
      <c r="G15" s="82"/>
      <c r="H15" s="82"/>
      <c r="I15" s="82"/>
      <c r="J15" s="82"/>
      <c r="K15" s="71"/>
    </row>
    <row r="16" spans="1:11" ht="12.75" customHeight="1" x14ac:dyDescent="0.2">
      <c r="A16" s="77"/>
      <c r="B16" s="51"/>
      <c r="C16" s="52"/>
      <c r="D16" s="52"/>
      <c r="E16" s="52" t="s">
        <v>2</v>
      </c>
      <c r="F16" s="52"/>
      <c r="G16" s="87" t="s">
        <v>3</v>
      </c>
      <c r="H16" s="52"/>
      <c r="I16" s="52"/>
      <c r="J16" s="53"/>
      <c r="K16" s="71"/>
    </row>
    <row r="17" spans="1:11" ht="12.75" customHeight="1" x14ac:dyDescent="0.2">
      <c r="A17" s="77"/>
      <c r="B17" s="8"/>
      <c r="C17" s="9"/>
      <c r="D17" s="8"/>
      <c r="E17" s="139" t="s">
        <v>77</v>
      </c>
      <c r="F17" s="44" t="s">
        <v>78</v>
      </c>
      <c r="G17" s="139" t="s">
        <v>77</v>
      </c>
      <c r="H17" s="44" t="s">
        <v>78</v>
      </c>
      <c r="I17" s="116" t="s">
        <v>9</v>
      </c>
      <c r="J17" s="116" t="s">
        <v>40</v>
      </c>
      <c r="K17" s="71"/>
    </row>
    <row r="18" spans="1:11" ht="12.75" customHeight="1" x14ac:dyDescent="0.2">
      <c r="A18" s="77"/>
      <c r="B18" s="6">
        <v>1</v>
      </c>
      <c r="C18" s="4" t="s">
        <v>13</v>
      </c>
      <c r="D18" s="13" t="s">
        <v>5</v>
      </c>
      <c r="E18" s="88">
        <v>71117.98</v>
      </c>
      <c r="F18" s="140">
        <v>72193.460000000006</v>
      </c>
      <c r="G18" s="145">
        <v>87475.12</v>
      </c>
      <c r="H18" s="146">
        <v>88797.96</v>
      </c>
      <c r="I18" s="147">
        <f>IF(G18&gt;0,H18/G18-1,"")</f>
        <v>1.5122471395295101E-2</v>
      </c>
      <c r="J18" s="132">
        <f>IF(G18&gt;0,H18-G18,"")</f>
        <v>1322.8400000000111</v>
      </c>
      <c r="K18" s="131" t="str">
        <f>IF(H18&lt;&gt;G18,"þ"," ")</f>
        <v>þ</v>
      </c>
    </row>
    <row r="19" spans="1:11" ht="12.75" customHeight="1" x14ac:dyDescent="0.2">
      <c r="A19" s="77"/>
      <c r="B19" s="6"/>
      <c r="C19" s="4"/>
      <c r="D19" s="13" t="s">
        <v>6</v>
      </c>
      <c r="E19" s="88">
        <v>5926.5</v>
      </c>
      <c r="F19" s="140">
        <v>6016.12</v>
      </c>
      <c r="G19" s="145">
        <v>7289.6</v>
      </c>
      <c r="H19" s="146">
        <v>7399.83</v>
      </c>
      <c r="I19" s="147">
        <f>IF(G19&gt;0,H19/G19-1,"")</f>
        <v>1.5121543020193196E-2</v>
      </c>
      <c r="J19" s="132">
        <f>IF(G19&gt;0,H19-G19,"")</f>
        <v>110.22999999999956</v>
      </c>
      <c r="K19" s="131" t="str">
        <f>IF(H19&lt;&gt;G19,"þ"," ")</f>
        <v>þ</v>
      </c>
    </row>
    <row r="20" spans="1:11" ht="12.75" customHeight="1" x14ac:dyDescent="0.2">
      <c r="A20" s="77"/>
      <c r="B20" s="6">
        <v>2</v>
      </c>
      <c r="C20" s="4" t="s">
        <v>14</v>
      </c>
      <c r="D20" s="13" t="s">
        <v>7</v>
      </c>
      <c r="E20" s="88">
        <v>15.47</v>
      </c>
      <c r="F20" s="140">
        <v>15.69</v>
      </c>
      <c r="G20" s="145">
        <v>19.03</v>
      </c>
      <c r="H20" s="146">
        <v>19.3</v>
      </c>
      <c r="I20" s="147">
        <f>IF(G20&gt;0,H20/G20-1,"")</f>
        <v>1.4188124014713477E-2</v>
      </c>
      <c r="J20" s="132">
        <f>IF(G20&gt;0,H20-G20,"")</f>
        <v>0.26999999999999957</v>
      </c>
      <c r="K20" s="131" t="str">
        <f>IF(H20&lt;&gt;G20,"þ"," ")</f>
        <v>þ</v>
      </c>
    </row>
    <row r="21" spans="1:11" ht="12.75" customHeight="1" x14ac:dyDescent="0.2">
      <c r="A21" s="77"/>
      <c r="I21" s="143"/>
      <c r="J21" s="144"/>
      <c r="K21" s="131"/>
    </row>
    <row r="22" spans="1:11" ht="18" customHeight="1" x14ac:dyDescent="0.25">
      <c r="A22" s="77"/>
      <c r="B22" s="80" t="s">
        <v>22</v>
      </c>
      <c r="C22" s="81" t="s">
        <v>16</v>
      </c>
      <c r="D22" s="81" t="s">
        <v>64</v>
      </c>
      <c r="E22" s="82"/>
      <c r="F22" s="82"/>
      <c r="G22" s="82"/>
      <c r="H22" s="82"/>
      <c r="I22" s="82"/>
      <c r="J22" s="82"/>
      <c r="K22" s="71"/>
    </row>
    <row r="23" spans="1:11" ht="12.75" customHeight="1" x14ac:dyDescent="0.2">
      <c r="A23" s="77"/>
      <c r="B23" s="51"/>
      <c r="C23" s="52"/>
      <c r="D23" s="52"/>
      <c r="E23" s="52" t="s">
        <v>2</v>
      </c>
      <c r="F23" s="52"/>
      <c r="G23" s="87" t="s">
        <v>3</v>
      </c>
      <c r="H23" s="52"/>
      <c r="I23" s="52"/>
      <c r="J23" s="53"/>
      <c r="K23" s="95"/>
    </row>
    <row r="24" spans="1:11" ht="12.75" customHeight="1" x14ac:dyDescent="0.2">
      <c r="A24" s="94"/>
      <c r="E24" s="139" t="s">
        <v>77</v>
      </c>
      <c r="F24" s="44" t="s">
        <v>78</v>
      </c>
      <c r="G24" s="139" t="s">
        <v>77</v>
      </c>
      <c r="H24" s="44" t="s">
        <v>78</v>
      </c>
      <c r="I24" s="116" t="s">
        <v>9</v>
      </c>
      <c r="J24" s="116" t="s">
        <v>40</v>
      </c>
      <c r="K24" s="71"/>
    </row>
    <row r="25" spans="1:11" ht="12.75" customHeight="1" x14ac:dyDescent="0.2">
      <c r="A25" s="94"/>
      <c r="B25" s="6">
        <v>1</v>
      </c>
      <c r="C25" s="4" t="s">
        <v>13</v>
      </c>
      <c r="D25" s="13" t="s">
        <v>5</v>
      </c>
      <c r="E25" s="88">
        <v>58816.99</v>
      </c>
      <c r="F25" s="140">
        <v>59892.47</v>
      </c>
      <c r="G25" s="145">
        <v>72344.899999999994</v>
      </c>
      <c r="H25" s="146">
        <v>73667.740000000005</v>
      </c>
      <c r="I25" s="147">
        <f>IF(G25&gt;0,H25/G25-1,"")</f>
        <v>1.828518665448442E-2</v>
      </c>
      <c r="J25" s="132">
        <f>IF(G25&gt;0,H25-G25,"")</f>
        <v>1322.8400000000111</v>
      </c>
      <c r="K25" s="131" t="str">
        <f>IF(H25&lt;&gt;G25,"þ"," ")</f>
        <v>þ</v>
      </c>
    </row>
    <row r="26" spans="1:11" ht="12.75" customHeight="1" x14ac:dyDescent="0.2">
      <c r="A26" s="77"/>
      <c r="B26" s="6"/>
      <c r="C26" s="4"/>
      <c r="D26" s="13" t="s">
        <v>6</v>
      </c>
      <c r="E26" s="88">
        <v>4901.42</v>
      </c>
      <c r="F26" s="140">
        <v>4991.04</v>
      </c>
      <c r="G26" s="145">
        <v>6028.75</v>
      </c>
      <c r="H26" s="146">
        <v>6138.98</v>
      </c>
      <c r="I26" s="147">
        <f>IF(G26&gt;0,H26/G26-1,"")</f>
        <v>1.8284055567074464E-2</v>
      </c>
      <c r="J26" s="132">
        <f>IF(G26&gt;0,H26-G26,"")</f>
        <v>110.22999999999956</v>
      </c>
      <c r="K26" s="131" t="str">
        <f>IF(H26&lt;&gt;G26,"þ"," ")</f>
        <v>þ</v>
      </c>
    </row>
    <row r="27" spans="1:11" ht="12.75" customHeight="1" x14ac:dyDescent="0.2">
      <c r="A27" s="77"/>
      <c r="B27" s="6">
        <v>2</v>
      </c>
      <c r="C27" s="4" t="s">
        <v>14</v>
      </c>
      <c r="D27" s="13" t="s">
        <v>7</v>
      </c>
      <c r="E27" s="88">
        <v>16.48</v>
      </c>
      <c r="F27" s="140">
        <v>16.77</v>
      </c>
      <c r="G27" s="145">
        <v>20.27</v>
      </c>
      <c r="H27" s="146">
        <v>20.63</v>
      </c>
      <c r="I27" s="147">
        <f>IF(G27&gt;0,H27/G27-1,"")</f>
        <v>1.7760236803157303E-2</v>
      </c>
      <c r="J27" s="132">
        <f>IF(G27&gt;0,H27-G27,"")</f>
        <v>0.35999999999999943</v>
      </c>
      <c r="K27" s="131" t="str">
        <f>IF(H27&lt;&gt;G27,"þ"," ")</f>
        <v>þ</v>
      </c>
    </row>
    <row r="28" spans="1:11" ht="12.75" customHeight="1" x14ac:dyDescent="0.2">
      <c r="A28" s="77"/>
      <c r="K28" s="71"/>
    </row>
    <row r="29" spans="1:11" ht="18" customHeight="1" x14ac:dyDescent="0.25">
      <c r="A29" s="77"/>
      <c r="B29" s="80" t="s">
        <v>23</v>
      </c>
      <c r="C29" s="81" t="s">
        <v>16</v>
      </c>
      <c r="D29" s="81" t="s">
        <v>65</v>
      </c>
      <c r="E29" s="82"/>
      <c r="F29" s="82"/>
      <c r="G29" s="82"/>
      <c r="H29" s="82"/>
      <c r="I29" s="82"/>
      <c r="J29" s="82"/>
      <c r="K29" s="71"/>
    </row>
    <row r="30" spans="1:11" ht="12.75" customHeight="1" x14ac:dyDescent="0.2">
      <c r="A30" s="77"/>
      <c r="B30" s="51"/>
      <c r="C30" s="52"/>
      <c r="D30" s="52"/>
      <c r="E30" s="52"/>
      <c r="F30" s="52"/>
      <c r="G30" s="87" t="s">
        <v>3</v>
      </c>
      <c r="H30" s="52"/>
      <c r="I30" s="52"/>
      <c r="J30" s="53"/>
      <c r="K30" s="71"/>
    </row>
    <row r="31" spans="1:11" ht="12.75" customHeight="1" x14ac:dyDescent="0.2">
      <c r="A31" s="77"/>
      <c r="B31" s="8"/>
      <c r="C31" s="9"/>
      <c r="D31" s="8"/>
      <c r="E31" s="139" t="s">
        <v>77</v>
      </c>
      <c r="F31" s="44" t="s">
        <v>78</v>
      </c>
      <c r="G31" s="139" t="s">
        <v>77</v>
      </c>
      <c r="H31" s="44" t="s">
        <v>78</v>
      </c>
      <c r="I31" s="116" t="s">
        <v>9</v>
      </c>
      <c r="J31" s="116" t="s">
        <v>40</v>
      </c>
      <c r="K31" s="71"/>
    </row>
    <row r="32" spans="1:11" ht="12.75" customHeight="1" x14ac:dyDescent="0.2">
      <c r="A32" s="77"/>
      <c r="B32" s="6">
        <v>1</v>
      </c>
      <c r="C32" s="4" t="s">
        <v>13</v>
      </c>
      <c r="D32" s="13" t="s">
        <v>5</v>
      </c>
      <c r="E32" s="88">
        <v>72400.490000000005</v>
      </c>
      <c r="F32" s="140">
        <v>73475.97</v>
      </c>
      <c r="G32" s="145">
        <v>89052.6</v>
      </c>
      <c r="H32" s="146">
        <v>90375.44</v>
      </c>
      <c r="I32" s="147">
        <f>IF(G32&gt;0,H32/G32-1,"")</f>
        <v>1.4854591556001662E-2</v>
      </c>
      <c r="J32" s="132">
        <f>IF(G32&gt;0,H32-G32,"")</f>
        <v>1322.8399999999965</v>
      </c>
      <c r="K32" s="131" t="str">
        <f>IF(H32&lt;&gt;G32,"þ"," ")</f>
        <v>þ</v>
      </c>
    </row>
    <row r="33" spans="1:11" ht="12.75" customHeight="1" x14ac:dyDescent="0.2">
      <c r="A33" s="77"/>
      <c r="B33" s="6"/>
      <c r="C33" s="4"/>
      <c r="D33" s="13" t="s">
        <v>6</v>
      </c>
      <c r="E33" s="88">
        <v>6033.37</v>
      </c>
      <c r="F33" s="140">
        <v>6123</v>
      </c>
      <c r="G33" s="145">
        <v>7421.05</v>
      </c>
      <c r="H33" s="146">
        <v>7531.29</v>
      </c>
      <c r="I33" s="147">
        <f>IF(G33&gt;0,H33/G33-1,"")</f>
        <v>1.4855040728737778E-2</v>
      </c>
      <c r="J33" s="132">
        <f>IF(G33&gt;0,H33-G33,"")</f>
        <v>110.23999999999978</v>
      </c>
      <c r="K33" s="131" t="str">
        <f>IF(H33&lt;&gt;G33,"þ"," ")</f>
        <v>þ</v>
      </c>
    </row>
    <row r="34" spans="1:11" ht="12.75" customHeight="1" x14ac:dyDescent="0.2">
      <c r="A34" s="77"/>
      <c r="B34" s="6">
        <v>2</v>
      </c>
      <c r="C34" s="4" t="s">
        <v>14</v>
      </c>
      <c r="D34" s="13" t="s">
        <v>7</v>
      </c>
      <c r="E34" s="88">
        <v>15.55</v>
      </c>
      <c r="F34" s="140">
        <v>15.77</v>
      </c>
      <c r="G34" s="145">
        <v>19.13</v>
      </c>
      <c r="H34" s="146">
        <v>19.399999999999999</v>
      </c>
      <c r="I34" s="147">
        <f>IF(G34&gt;0,H34/G34-1,"")</f>
        <v>1.4113957135389432E-2</v>
      </c>
      <c r="J34" s="132">
        <f>IF(G34&gt;0,H34-G34,"")</f>
        <v>0.26999999999999957</v>
      </c>
      <c r="K34" s="131" t="str">
        <f>IF(H34&lt;&gt;G34,"þ"," ")</f>
        <v>þ</v>
      </c>
    </row>
    <row r="35" spans="1:11" ht="12.75" customHeight="1" x14ac:dyDescent="0.2">
      <c r="A35" s="77"/>
      <c r="K35" s="71"/>
    </row>
    <row r="36" spans="1:11" ht="18" customHeight="1" x14ac:dyDescent="0.25">
      <c r="A36" s="77"/>
      <c r="B36" s="80" t="s">
        <v>24</v>
      </c>
      <c r="C36" s="81" t="s">
        <v>25</v>
      </c>
      <c r="D36" s="81"/>
      <c r="E36" s="82"/>
      <c r="F36" s="82"/>
      <c r="G36" s="82"/>
      <c r="H36" s="82"/>
      <c r="I36" s="82"/>
      <c r="J36" s="82"/>
      <c r="K36" s="71"/>
    </row>
    <row r="37" spans="1:11" ht="12.75" customHeight="1" x14ac:dyDescent="0.2">
      <c r="A37" s="77"/>
      <c r="B37" s="51"/>
      <c r="C37" s="52"/>
      <c r="D37" s="52"/>
      <c r="E37" s="52"/>
      <c r="F37" s="52"/>
      <c r="G37" s="87" t="s">
        <v>3</v>
      </c>
      <c r="H37" s="52"/>
      <c r="I37" s="52"/>
      <c r="J37" s="53"/>
      <c r="K37" s="71"/>
    </row>
    <row r="38" spans="1:11" ht="12.75" customHeight="1" x14ac:dyDescent="0.2">
      <c r="A38" s="77"/>
      <c r="B38" s="6"/>
      <c r="C38" s="4"/>
      <c r="D38" s="4"/>
      <c r="E38" s="9"/>
      <c r="F38" s="6" t="s">
        <v>26</v>
      </c>
      <c r="G38" s="139" t="s">
        <v>77</v>
      </c>
      <c r="H38" s="44" t="s">
        <v>78</v>
      </c>
      <c r="I38" s="116" t="s">
        <v>9</v>
      </c>
      <c r="J38" s="116" t="s">
        <v>40</v>
      </c>
      <c r="K38" s="71"/>
    </row>
    <row r="39" spans="1:11" ht="12.75" customHeight="1" x14ac:dyDescent="0.2">
      <c r="A39" s="77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45">
        <f>G12+G20</f>
        <v>57.85</v>
      </c>
      <c r="H39" s="146">
        <f>H12+H20</f>
        <v>58.120000000000005</v>
      </c>
      <c r="I39" s="147">
        <f>IF(G39&gt;0,H39/G39-1,"")</f>
        <v>4.6672428694900514E-3</v>
      </c>
      <c r="J39" s="132">
        <f>IF(G39&gt;0,H39-G39,"")</f>
        <v>0.27000000000000313</v>
      </c>
      <c r="K39" s="131" t="str">
        <f>IF(H39&lt;&gt;G39,"þ"," ")</f>
        <v>þ</v>
      </c>
    </row>
    <row r="40" spans="1:11" ht="12.75" customHeight="1" x14ac:dyDescent="0.2">
      <c r="A40" s="77"/>
      <c r="B40" s="6"/>
      <c r="C40" s="4"/>
      <c r="D40" s="4"/>
      <c r="E40" s="9"/>
      <c r="F40" s="29" t="s">
        <v>19</v>
      </c>
      <c r="G40" s="145">
        <f>G12+G27</f>
        <v>59.09</v>
      </c>
      <c r="H40" s="146">
        <f>H12+H27</f>
        <v>59.45</v>
      </c>
      <c r="I40" s="147">
        <f>IF(G40&gt;0,H40/G40-1,"")</f>
        <v>6.0924014215604227E-3</v>
      </c>
      <c r="J40" s="132">
        <f>IF(G40&gt;0,H40-G40,"")</f>
        <v>0.35999999999999943</v>
      </c>
      <c r="K40" s="131" t="str">
        <f>IF(H40&lt;&gt;G40,"þ"," ")</f>
        <v>þ</v>
      </c>
    </row>
    <row r="41" spans="1:11" ht="12.75" customHeight="1" x14ac:dyDescent="0.2">
      <c r="A41" s="77"/>
      <c r="B41" s="104" t="s">
        <v>53</v>
      </c>
      <c r="E41" s="9"/>
      <c r="F41" s="29" t="s">
        <v>20</v>
      </c>
      <c r="G41" s="145">
        <f>G12+G34</f>
        <v>57.95</v>
      </c>
      <c r="H41" s="146">
        <f>H12+H34</f>
        <v>58.22</v>
      </c>
      <c r="I41" s="147">
        <f>IF(G41&gt;0,H41/G41-1,"")</f>
        <v>4.6591889559963739E-3</v>
      </c>
      <c r="J41" s="132">
        <f>IF(G41&gt;0,H41-G41,"")</f>
        <v>0.26999999999999602</v>
      </c>
      <c r="K41" s="131" t="str">
        <f>IF(H41&lt;&gt;G41,"þ"," ")</f>
        <v>þ</v>
      </c>
    </row>
    <row r="42" spans="1:11" ht="18" customHeight="1" x14ac:dyDescent="0.25">
      <c r="A42" s="77"/>
      <c r="B42" s="80" t="s">
        <v>54</v>
      </c>
      <c r="C42" s="81" t="s">
        <v>16</v>
      </c>
      <c r="D42" s="82"/>
      <c r="E42" s="82"/>
      <c r="F42" s="82"/>
      <c r="G42" s="82"/>
      <c r="H42" s="82"/>
      <c r="I42" s="82"/>
      <c r="J42" s="82"/>
      <c r="K42" s="71"/>
    </row>
    <row r="43" spans="1:11" ht="12.75" customHeight="1" x14ac:dyDescent="0.2">
      <c r="A43" s="77"/>
      <c r="B43" s="51"/>
      <c r="C43" s="52"/>
      <c r="D43" s="52"/>
      <c r="E43" s="52" t="s">
        <v>2</v>
      </c>
      <c r="F43" s="52"/>
      <c r="G43" s="87" t="s">
        <v>3</v>
      </c>
      <c r="H43" s="52"/>
      <c r="I43" s="52"/>
      <c r="J43" s="53"/>
      <c r="K43" s="71"/>
    </row>
    <row r="44" spans="1:11" ht="12.75" customHeight="1" x14ac:dyDescent="0.2">
      <c r="A44" s="77"/>
      <c r="B44" s="8" t="s">
        <v>0</v>
      </c>
      <c r="C44" s="9" t="s">
        <v>12</v>
      </c>
      <c r="D44" s="8" t="s">
        <v>1</v>
      </c>
      <c r="E44" s="116" t="s">
        <v>72</v>
      </c>
      <c r="F44" s="44" t="s">
        <v>73</v>
      </c>
      <c r="G44" s="116" t="s">
        <v>72</v>
      </c>
      <c r="H44" s="44" t="s">
        <v>73</v>
      </c>
      <c r="I44" s="116" t="s">
        <v>9</v>
      </c>
      <c r="J44" s="116" t="s">
        <v>40</v>
      </c>
      <c r="K44" s="71"/>
    </row>
    <row r="45" spans="1:11" ht="12.75" customHeight="1" x14ac:dyDescent="0.2">
      <c r="A45" s="77"/>
      <c r="B45" s="6">
        <v>1</v>
      </c>
      <c r="C45" s="4" t="s">
        <v>10</v>
      </c>
      <c r="D45" s="13" t="s">
        <v>5</v>
      </c>
      <c r="E45" s="155">
        <v>208770.34</v>
      </c>
      <c r="F45" s="153">
        <v>208770.34</v>
      </c>
      <c r="G45" s="156">
        <f t="shared" ref="G45:H48" si="4">E45*1.23</f>
        <v>256787.51819999999</v>
      </c>
      <c r="H45" s="154">
        <f t="shared" si="4"/>
        <v>256787.51819999999</v>
      </c>
      <c r="I45" s="148">
        <f>IF(G45&gt;0,H45/G45-1,"")</f>
        <v>0</v>
      </c>
      <c r="J45" s="144">
        <f>IF(G45&gt;0,H45-G45,"")</f>
        <v>0</v>
      </c>
      <c r="K45" s="131" t="str">
        <f>IF(H45&lt;&gt;G45,"þ"," ")</f>
        <v xml:space="preserve"> </v>
      </c>
    </row>
    <row r="46" spans="1:11" ht="12.75" customHeight="1" x14ac:dyDescent="0.2">
      <c r="A46" s="77"/>
      <c r="B46" s="6"/>
      <c r="C46" s="4"/>
      <c r="D46" s="13" t="s">
        <v>6</v>
      </c>
      <c r="E46" s="155">
        <v>17397.53</v>
      </c>
      <c r="F46" s="153">
        <v>17397.53</v>
      </c>
      <c r="G46" s="156">
        <f t="shared" si="4"/>
        <v>21398.961899999998</v>
      </c>
      <c r="H46" s="154">
        <f t="shared" si="4"/>
        <v>21398.961899999998</v>
      </c>
      <c r="I46" s="148">
        <f t="shared" ref="I46:I48" si="5">IF(G46&gt;0,H46/G46-1,"")</f>
        <v>0</v>
      </c>
      <c r="J46" s="144">
        <f t="shared" ref="J46:J48" si="6">IF(G46&gt;0,H46-G46,"")</f>
        <v>0</v>
      </c>
      <c r="K46" s="131" t="str">
        <f>IF(H46&lt;&gt;G46,"þ"," ")</f>
        <v xml:space="preserve"> </v>
      </c>
    </row>
    <row r="47" spans="1:11" ht="12.75" customHeight="1" x14ac:dyDescent="0.2">
      <c r="A47" s="77"/>
      <c r="B47" s="6">
        <v>2</v>
      </c>
      <c r="C47" s="4" t="s">
        <v>11</v>
      </c>
      <c r="D47" s="13" t="s">
        <v>7</v>
      </c>
      <c r="E47" s="155">
        <v>47.54</v>
      </c>
      <c r="F47" s="153">
        <v>47.54</v>
      </c>
      <c r="G47" s="156">
        <f t="shared" si="4"/>
        <v>58.474199999999996</v>
      </c>
      <c r="H47" s="154">
        <f t="shared" si="4"/>
        <v>58.474199999999996</v>
      </c>
      <c r="I47" s="148">
        <f t="shared" si="5"/>
        <v>0</v>
      </c>
      <c r="J47" s="144">
        <f t="shared" si="6"/>
        <v>0</v>
      </c>
      <c r="K47" s="131" t="str">
        <f>IF(H47&lt;&gt;G47,"þ"," ")</f>
        <v xml:space="preserve"> </v>
      </c>
    </row>
    <row r="48" spans="1:11" ht="12.75" customHeight="1" x14ac:dyDescent="0.2">
      <c r="A48" s="77"/>
      <c r="B48" s="6">
        <v>3</v>
      </c>
      <c r="C48" s="4" t="s">
        <v>4</v>
      </c>
      <c r="D48" s="13" t="s">
        <v>8</v>
      </c>
      <c r="E48" s="155">
        <v>17.59</v>
      </c>
      <c r="F48" s="153">
        <v>17.59</v>
      </c>
      <c r="G48" s="156">
        <f t="shared" si="4"/>
        <v>21.6357</v>
      </c>
      <c r="H48" s="154">
        <f t="shared" si="4"/>
        <v>21.6357</v>
      </c>
      <c r="I48" s="148">
        <f t="shared" si="5"/>
        <v>0</v>
      </c>
      <c r="J48" s="144">
        <f t="shared" si="6"/>
        <v>0</v>
      </c>
      <c r="K48" s="131" t="str">
        <f>IF(H48&lt;&gt;G48,"þ"," ")</f>
        <v xml:space="preserve"> </v>
      </c>
    </row>
    <row r="49" spans="1:11" ht="12.75" customHeight="1" x14ac:dyDescent="0.2">
      <c r="A49" s="77"/>
      <c r="K49" s="71"/>
    </row>
    <row r="50" spans="1:11" ht="18" customHeight="1" x14ac:dyDescent="0.25">
      <c r="A50" s="77"/>
      <c r="B50" s="80" t="s">
        <v>59</v>
      </c>
      <c r="C50" s="81" t="s">
        <v>16</v>
      </c>
      <c r="D50" s="81" t="s">
        <v>66</v>
      </c>
      <c r="E50" s="82"/>
      <c r="F50" s="82"/>
      <c r="G50" s="82"/>
      <c r="H50" s="82"/>
      <c r="I50" s="82"/>
      <c r="J50" s="82"/>
      <c r="K50" s="71"/>
    </row>
    <row r="51" spans="1:11" ht="12.75" customHeight="1" x14ac:dyDescent="0.2">
      <c r="A51" s="77"/>
      <c r="B51" s="51"/>
      <c r="C51" s="52"/>
      <c r="D51" s="52"/>
      <c r="E51" s="52" t="s">
        <v>2</v>
      </c>
      <c r="F51" s="52"/>
      <c r="G51" s="87" t="s">
        <v>3</v>
      </c>
      <c r="H51" s="52"/>
      <c r="I51" s="52"/>
      <c r="J51" s="53"/>
      <c r="K51" s="71"/>
    </row>
    <row r="52" spans="1:11" ht="12.75" customHeight="1" x14ac:dyDescent="0.2">
      <c r="A52" s="77"/>
      <c r="E52" s="116" t="s">
        <v>71</v>
      </c>
      <c r="F52" s="44" t="s">
        <v>71</v>
      </c>
      <c r="G52" s="116" t="s">
        <v>71</v>
      </c>
      <c r="H52" s="44" t="s">
        <v>71</v>
      </c>
      <c r="I52" s="116" t="s">
        <v>9</v>
      </c>
      <c r="J52" s="116" t="s">
        <v>40</v>
      </c>
      <c r="K52" s="71"/>
    </row>
    <row r="53" spans="1:11" ht="12.75" customHeight="1" x14ac:dyDescent="0.2">
      <c r="A53" s="77"/>
      <c r="B53" s="6">
        <v>1</v>
      </c>
      <c r="C53" s="4" t="s">
        <v>13</v>
      </c>
      <c r="D53" s="13" t="s">
        <v>5</v>
      </c>
      <c r="E53" s="155">
        <v>33347.440000000002</v>
      </c>
      <c r="F53" s="153">
        <v>33347.440000000002</v>
      </c>
      <c r="G53" s="156">
        <v>41017.35</v>
      </c>
      <c r="H53" s="154">
        <v>41017.35</v>
      </c>
      <c r="I53" s="148">
        <f t="shared" ref="I53:I55" si="7">IF(G53&gt;0,H53/G53-1,"")</f>
        <v>0</v>
      </c>
      <c r="J53" s="144">
        <f t="shared" ref="J53:J55" si="8">IF(G53&gt;0,H53-G53,"")</f>
        <v>0</v>
      </c>
      <c r="K53" s="131" t="str">
        <f>IF(H53&lt;&gt;G53,"þ"," ")</f>
        <v xml:space="preserve"> </v>
      </c>
    </row>
    <row r="54" spans="1:11" ht="12.75" customHeight="1" x14ac:dyDescent="0.2">
      <c r="A54" s="77"/>
      <c r="B54" s="6"/>
      <c r="C54" s="4"/>
      <c r="D54" s="13" t="s">
        <v>6</v>
      </c>
      <c r="E54" s="155">
        <v>2778.95</v>
      </c>
      <c r="F54" s="153">
        <v>2778.95</v>
      </c>
      <c r="G54" s="156">
        <v>3418.11</v>
      </c>
      <c r="H54" s="154">
        <v>3418.11</v>
      </c>
      <c r="I54" s="148">
        <f t="shared" si="7"/>
        <v>0</v>
      </c>
      <c r="J54" s="144">
        <f t="shared" si="8"/>
        <v>0</v>
      </c>
      <c r="K54" s="131" t="str">
        <f>IF(H54&lt;&gt;G54,"þ"," ")</f>
        <v xml:space="preserve"> </v>
      </c>
    </row>
    <row r="55" spans="1:11" ht="12.75" customHeight="1" x14ac:dyDescent="0.2">
      <c r="A55" s="77"/>
      <c r="B55" s="6">
        <v>2</v>
      </c>
      <c r="C55" s="4" t="s">
        <v>14</v>
      </c>
      <c r="D55" s="13" t="s">
        <v>7</v>
      </c>
      <c r="E55" s="155">
        <v>9.43</v>
      </c>
      <c r="F55" s="153">
        <v>9.43</v>
      </c>
      <c r="G55" s="156">
        <v>11.6</v>
      </c>
      <c r="H55" s="154">
        <v>11.6</v>
      </c>
      <c r="I55" s="148">
        <f t="shared" si="7"/>
        <v>0</v>
      </c>
      <c r="J55" s="144">
        <f t="shared" si="8"/>
        <v>0</v>
      </c>
      <c r="K55" s="131" t="str">
        <f>IF(H55&lt;&gt;G55,"þ"," ")</f>
        <v xml:space="preserve"> </v>
      </c>
    </row>
    <row r="56" spans="1:11" ht="12.75" customHeight="1" thickBot="1" x14ac:dyDescent="0.25">
      <c r="A56" s="79"/>
      <c r="B56" s="68"/>
      <c r="C56" s="69"/>
      <c r="D56" s="69"/>
      <c r="E56" s="69"/>
      <c r="F56" s="69"/>
      <c r="G56" s="69"/>
      <c r="H56" s="69"/>
      <c r="I56" s="69"/>
      <c r="J56" s="69"/>
      <c r="K56" s="74"/>
    </row>
    <row r="57" spans="1:11" ht="13.5" thickTop="1" x14ac:dyDescent="0.2"/>
  </sheetData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L59"/>
  <sheetViews>
    <sheetView showGridLines="0" workbookViewId="0">
      <selection activeCell="E11" sqref="E11"/>
    </sheetView>
  </sheetViews>
  <sheetFormatPr defaultRowHeight="12.75" x14ac:dyDescent="0.2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 x14ac:dyDescent="0.2">
      <c r="A1" s="76"/>
      <c r="B1" s="135" t="s">
        <v>47</v>
      </c>
      <c r="C1" s="136" t="s">
        <v>51</v>
      </c>
      <c r="D1" s="75"/>
      <c r="E1" s="75"/>
      <c r="F1" s="75"/>
      <c r="G1" s="75"/>
      <c r="H1" s="75"/>
      <c r="I1" s="75"/>
      <c r="J1" s="75"/>
      <c r="K1" s="70"/>
    </row>
    <row r="2" spans="1:11" ht="12.75" customHeight="1" x14ac:dyDescent="0.2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f>Ceny!J2</f>
        <v>44445</v>
      </c>
      <c r="K2" s="71"/>
    </row>
    <row r="3" spans="1:11" ht="18" customHeight="1" x14ac:dyDescent="0.2">
      <c r="A3" s="77"/>
      <c r="B3" s="51"/>
      <c r="C3" s="54" t="s">
        <v>46</v>
      </c>
      <c r="D3" s="52"/>
      <c r="E3" s="52"/>
      <c r="F3" s="52"/>
      <c r="G3" s="52"/>
      <c r="H3" s="52"/>
      <c r="I3" s="52"/>
      <c r="J3" s="83">
        <f>Ceny!J3</f>
        <v>2021</v>
      </c>
      <c r="K3" s="71"/>
    </row>
    <row r="4" spans="1:11" ht="18" customHeight="1" x14ac:dyDescent="0.2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 x14ac:dyDescent="0.2">
      <c r="A5" s="77"/>
      <c r="B5" s="6"/>
      <c r="C5" s="7" t="s">
        <v>50</v>
      </c>
      <c r="D5" s="47" t="str">
        <f>IF(LEN(Ceny!D5&gt;0),Ceny!D5," ")</f>
        <v>Nowa taryfa dla ciepła MPEC-KONIN Sp. z o.o. obowiązująca od dnia 2021-09-06</v>
      </c>
      <c r="E5" s="47"/>
      <c r="F5" s="47"/>
      <c r="G5" s="47"/>
      <c r="H5" s="47"/>
      <c r="I5" s="47"/>
      <c r="J5" s="50"/>
      <c r="K5" s="71"/>
    </row>
    <row r="6" spans="1:11" ht="12.75" customHeight="1" x14ac:dyDescent="0.2">
      <c r="A6" s="77"/>
      <c r="B6" s="6"/>
      <c r="D6" s="47"/>
      <c r="E6" s="48"/>
      <c r="F6" s="48"/>
      <c r="G6" s="48"/>
      <c r="H6" s="48"/>
      <c r="I6" s="48"/>
      <c r="J6" s="4"/>
      <c r="K6" s="71"/>
    </row>
    <row r="7" spans="1:11" ht="18" customHeight="1" x14ac:dyDescent="0.25">
      <c r="A7" s="77"/>
      <c r="B7" s="80" t="s">
        <v>17</v>
      </c>
      <c r="C7" s="81" t="s">
        <v>27</v>
      </c>
      <c r="D7" s="82"/>
      <c r="E7" s="82"/>
      <c r="F7" s="82"/>
      <c r="G7" s="82"/>
      <c r="H7" s="82"/>
      <c r="I7" s="82"/>
      <c r="J7" s="82"/>
      <c r="K7" s="71"/>
    </row>
    <row r="8" spans="1:11" ht="12.75" customHeight="1" x14ac:dyDescent="0.2">
      <c r="A8" s="77"/>
      <c r="B8" s="51"/>
      <c r="C8" s="52"/>
      <c r="D8" s="52"/>
      <c r="E8" s="52"/>
      <c r="F8" s="52"/>
      <c r="G8" s="52"/>
      <c r="H8" s="52"/>
      <c r="I8" s="52"/>
      <c r="J8" s="53"/>
      <c r="K8" s="71"/>
    </row>
    <row r="9" spans="1:11" ht="12.75" customHeight="1" x14ac:dyDescent="0.2">
      <c r="A9" s="77"/>
      <c r="B9" s="8"/>
      <c r="C9" s="9"/>
      <c r="D9" s="8"/>
      <c r="E9" s="8"/>
      <c r="F9" s="8"/>
      <c r="G9" s="8"/>
      <c r="H9" s="10"/>
      <c r="I9" s="11"/>
      <c r="J9" s="8"/>
      <c r="K9" s="71"/>
    </row>
    <row r="10" spans="1:11" ht="12.75" customHeight="1" x14ac:dyDescent="0.2">
      <c r="A10" s="77"/>
      <c r="B10" s="4"/>
      <c r="C10" s="4"/>
      <c r="D10" s="4"/>
      <c r="E10" s="9"/>
      <c r="F10" s="9"/>
      <c r="G10" s="4"/>
      <c r="H10" s="4"/>
      <c r="I10" s="4"/>
      <c r="J10" s="4"/>
      <c r="K10" s="71"/>
    </row>
    <row r="11" spans="1:11" ht="12.75" customHeight="1" x14ac:dyDescent="0.2">
      <c r="A11" s="77"/>
      <c r="B11" s="6">
        <v>1</v>
      </c>
      <c r="C11" s="12" t="s">
        <v>41</v>
      </c>
      <c r="D11" s="4"/>
      <c r="E11" s="67">
        <v>8</v>
      </c>
      <c r="F11" s="14"/>
      <c r="G11" s="4"/>
      <c r="H11" s="15"/>
      <c r="I11" s="65">
        <f>E11/1000</f>
        <v>8.0000000000000002E-3</v>
      </c>
      <c r="J11" s="16" t="s">
        <v>32</v>
      </c>
      <c r="K11" s="71"/>
    </row>
    <row r="12" spans="1:11" ht="12.75" customHeight="1" x14ac:dyDescent="0.2">
      <c r="A12" s="77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1"/>
    </row>
    <row r="13" spans="1:11" ht="12.75" customHeight="1" x14ac:dyDescent="0.2">
      <c r="A13" s="77"/>
      <c r="B13" s="4"/>
      <c r="C13" s="4"/>
      <c r="D13" s="4"/>
      <c r="E13" s="4"/>
      <c r="F13" s="4"/>
      <c r="G13" s="4"/>
      <c r="H13" s="4"/>
      <c r="I13" s="4"/>
      <c r="J13" s="4"/>
      <c r="K13" s="71"/>
    </row>
    <row r="14" spans="1:11" ht="12.75" customHeight="1" x14ac:dyDescent="0.2">
      <c r="A14" s="77"/>
      <c r="B14" s="4"/>
      <c r="C14" s="4"/>
      <c r="D14" s="4"/>
      <c r="E14" s="4"/>
      <c r="F14" s="105" t="s">
        <v>55</v>
      </c>
      <c r="G14" s="106"/>
      <c r="H14" s="107"/>
      <c r="I14" s="107"/>
      <c r="J14" s="107"/>
      <c r="K14" s="71"/>
    </row>
    <row r="15" spans="1:11" ht="12.75" customHeight="1" x14ac:dyDescent="0.2">
      <c r="A15" s="77"/>
      <c r="B15" s="6">
        <v>2</v>
      </c>
      <c r="C15" s="12" t="s">
        <v>31</v>
      </c>
      <c r="D15" s="4"/>
      <c r="E15" s="20">
        <v>1</v>
      </c>
      <c r="F15" s="105" t="s">
        <v>56</v>
      </c>
      <c r="G15" s="106"/>
      <c r="H15" s="108"/>
      <c r="I15" s="109"/>
      <c r="J15" s="110"/>
      <c r="K15" s="71"/>
    </row>
    <row r="16" spans="1:11" ht="12.75" customHeight="1" x14ac:dyDescent="0.2">
      <c r="A16" s="77"/>
      <c r="B16" s="4"/>
      <c r="C16" s="17" t="s">
        <v>29</v>
      </c>
      <c r="D16" s="4"/>
      <c r="E16" s="4"/>
      <c r="F16" s="105" t="s">
        <v>57</v>
      </c>
      <c r="G16" s="106"/>
      <c r="H16" s="107"/>
      <c r="I16" s="107"/>
      <c r="J16" s="107"/>
      <c r="K16" s="71"/>
    </row>
    <row r="17" spans="1:12" ht="12.75" customHeight="1" x14ac:dyDescent="0.2">
      <c r="A17" s="77"/>
      <c r="B17" s="4"/>
      <c r="C17" s="4"/>
      <c r="D17" s="4"/>
      <c r="E17" s="4"/>
      <c r="F17" s="21" t="s">
        <v>58</v>
      </c>
      <c r="H17" s="4"/>
      <c r="I17" s="4"/>
      <c r="J17" s="4"/>
      <c r="K17" s="71"/>
    </row>
    <row r="18" spans="1:12" ht="12.75" customHeight="1" x14ac:dyDescent="0.2">
      <c r="A18" s="77"/>
      <c r="K18" s="71"/>
    </row>
    <row r="19" spans="1:12" ht="12.75" customHeight="1" x14ac:dyDescent="0.2">
      <c r="A19" s="77"/>
      <c r="B19" s="4"/>
      <c r="C19" s="4"/>
      <c r="D19" s="4"/>
      <c r="E19" s="4"/>
      <c r="F19" s="4"/>
      <c r="G19" s="4"/>
      <c r="H19" s="4"/>
      <c r="I19" s="4"/>
      <c r="J19" s="4"/>
      <c r="K19" s="71"/>
    </row>
    <row r="20" spans="1:12" ht="12.75" customHeight="1" x14ac:dyDescent="0.2">
      <c r="A20" s="77"/>
      <c r="B20" s="6">
        <v>3</v>
      </c>
      <c r="C20" s="12" t="s">
        <v>42</v>
      </c>
      <c r="D20" s="4"/>
      <c r="E20" s="67">
        <v>20</v>
      </c>
      <c r="F20" s="20">
        <v>1</v>
      </c>
      <c r="G20" s="12"/>
      <c r="H20" s="12"/>
      <c r="I20" s="66">
        <f>E20</f>
        <v>20</v>
      </c>
      <c r="J20" s="13" t="s">
        <v>30</v>
      </c>
      <c r="K20" s="71"/>
    </row>
    <row r="21" spans="1:12" ht="12.75" customHeight="1" x14ac:dyDescent="0.2">
      <c r="A21" s="77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1"/>
    </row>
    <row r="22" spans="1:12" ht="12.75" customHeight="1" x14ac:dyDescent="0.2">
      <c r="A22" s="77"/>
      <c r="B22" s="6"/>
      <c r="C22" s="9"/>
      <c r="D22" s="12"/>
      <c r="E22" s="12"/>
      <c r="F22" s="12"/>
      <c r="G22" s="12"/>
      <c r="H22" s="12"/>
      <c r="I22" s="66">
        <f>E20/3.6/0.001</f>
        <v>5555.5555555555557</v>
      </c>
      <c r="J22" s="13" t="s">
        <v>33</v>
      </c>
      <c r="K22" s="71"/>
    </row>
    <row r="23" spans="1:12" ht="12.75" customHeight="1" x14ac:dyDescent="0.2">
      <c r="A23" s="78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1"/>
    </row>
    <row r="24" spans="1:12" ht="12.75" customHeight="1" x14ac:dyDescent="0.2">
      <c r="A24" s="78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1"/>
    </row>
    <row r="25" spans="1:12" ht="12.75" customHeight="1" x14ac:dyDescent="0.2">
      <c r="A25" s="78"/>
      <c r="B25" s="27"/>
      <c r="C25" s="28"/>
      <c r="D25" s="28"/>
      <c r="E25" s="28"/>
      <c r="F25" s="28"/>
      <c r="G25" s="28"/>
      <c r="H25" s="28"/>
      <c r="I25" s="28"/>
      <c r="J25" s="28"/>
      <c r="K25" s="71"/>
    </row>
    <row r="26" spans="1:12" ht="18" customHeight="1" x14ac:dyDescent="0.25">
      <c r="A26" s="77"/>
      <c r="B26" s="80" t="s">
        <v>18</v>
      </c>
      <c r="C26" s="81" t="s">
        <v>36</v>
      </c>
      <c r="D26" s="81"/>
      <c r="E26" s="82"/>
      <c r="F26" s="82"/>
      <c r="G26" s="82"/>
      <c r="H26" s="82"/>
      <c r="I26" s="82"/>
      <c r="J26" s="82"/>
      <c r="K26" s="71"/>
    </row>
    <row r="27" spans="1:12" ht="12.75" customHeight="1" x14ac:dyDescent="0.2">
      <c r="A27" s="77"/>
      <c r="B27" s="51"/>
      <c r="C27" s="87" t="str">
        <f>IF($E$15=4,"Dla grupy A5 opłaty źródła i przesyłu dotyczą MPEC-KONIN Sp. z o.o."," ")</f>
        <v xml:space="preserve"> </v>
      </c>
      <c r="D27" s="52"/>
      <c r="E27" s="52"/>
      <c r="F27" s="52"/>
      <c r="G27" s="52"/>
      <c r="H27" s="55" t="s">
        <v>60</v>
      </c>
      <c r="I27" s="57" t="s">
        <v>48</v>
      </c>
      <c r="J27" s="56" t="s">
        <v>9</v>
      </c>
      <c r="K27" s="130"/>
    </row>
    <row r="28" spans="1:12" ht="12.75" customHeight="1" x14ac:dyDescent="0.2">
      <c r="A28" s="77"/>
      <c r="B28" s="9"/>
      <c r="F28" s="29"/>
      <c r="G28" s="8"/>
      <c r="H28" s="115">
        <f>IF(I40&lt;&gt;0,IF(E15=4,0,I32/I40),0)</f>
        <v>0.66365900951174017</v>
      </c>
      <c r="I28" s="115">
        <f>1-H28</f>
        <v>0.33634099048825983</v>
      </c>
      <c r="J28" s="30"/>
      <c r="K28" s="130"/>
    </row>
    <row r="29" spans="1:12" ht="12.75" customHeight="1" x14ac:dyDescent="0.2">
      <c r="A29" s="77"/>
      <c r="B29" s="4"/>
      <c r="D29" s="120">
        <f>I11*Ceny!G11</f>
        <v>102.054</v>
      </c>
      <c r="E29" s="120">
        <f>I11*Ceny!G46</f>
        <v>171.1916952</v>
      </c>
      <c r="F29" s="120"/>
      <c r="G29" s="120"/>
      <c r="H29" s="115">
        <f>1-H28+0.001</f>
        <v>0.33734099048825983</v>
      </c>
      <c r="I29" s="115">
        <f>1-H29</f>
        <v>0.66265900951174017</v>
      </c>
      <c r="J29" s="31"/>
      <c r="K29" s="130"/>
      <c r="L29" s="3"/>
    </row>
    <row r="30" spans="1:12" ht="12.75" customHeight="1" x14ac:dyDescent="0.2">
      <c r="A30" s="77"/>
      <c r="B30" s="6">
        <v>1</v>
      </c>
      <c r="C30" s="4" t="s">
        <v>68</v>
      </c>
      <c r="D30" s="120">
        <f>I20*Ceny!G12</f>
        <v>776.4</v>
      </c>
      <c r="E30" s="120">
        <f>I20*Ceny!G47</f>
        <v>1169.4839999999999</v>
      </c>
      <c r="F30" s="117"/>
      <c r="G30" s="116"/>
      <c r="H30" s="141">
        <f>IF(F20=1,IF(E15&lt;=3,D29,E29),0)</f>
        <v>102.054</v>
      </c>
      <c r="I30" s="32">
        <f>IF(F20=1,IF(E15&lt;=3,D31,E31),0)</f>
        <v>102.054</v>
      </c>
      <c r="J30" s="149">
        <f>IF(H30&gt;0,I30/H30-1,0)</f>
        <v>0</v>
      </c>
      <c r="K30" s="131" t="str">
        <f>IF(H30&lt;&gt;I30,"þ"," ")</f>
        <v xml:space="preserve"> </v>
      </c>
    </row>
    <row r="31" spans="1:12" ht="12.75" customHeight="1" x14ac:dyDescent="0.2">
      <c r="A31" s="77"/>
      <c r="B31" s="6"/>
      <c r="C31" s="59" t="s">
        <v>69</v>
      </c>
      <c r="D31" s="121">
        <f>I11*Ceny!H11</f>
        <v>102.054</v>
      </c>
      <c r="E31" s="121">
        <f>I11*Ceny!H46</f>
        <v>171.1916952</v>
      </c>
      <c r="F31" s="118"/>
      <c r="G31" s="118"/>
      <c r="H31" s="91">
        <f>IF(F20=1,IF(E15&lt;=3,D30,E30),0)</f>
        <v>776.4</v>
      </c>
      <c r="I31" s="60">
        <f>IF(F20=1,IF(E15&lt;=3,D32,E32),0)</f>
        <v>776.4</v>
      </c>
      <c r="J31" s="151">
        <f>IF(H31&gt;0,I31/H31-1,0)</f>
        <v>0</v>
      </c>
      <c r="K31" s="131" t="str">
        <f t="shared" ref="K31:K36" si="0">IF(H31&lt;&gt;I31,"þ"," ")</f>
        <v xml:space="preserve"> </v>
      </c>
    </row>
    <row r="32" spans="1:12" ht="12.75" customHeight="1" x14ac:dyDescent="0.2">
      <c r="A32" s="77"/>
      <c r="B32" s="6"/>
      <c r="C32" s="12" t="s">
        <v>70</v>
      </c>
      <c r="D32" s="122">
        <f>I20*Ceny!H12</f>
        <v>776.4</v>
      </c>
      <c r="E32" s="122">
        <f>I20*Ceny!H47</f>
        <v>1169.4839999999999</v>
      </c>
      <c r="F32" s="113"/>
      <c r="G32" s="113"/>
      <c r="H32" s="85">
        <f>SUM(H30:H31)</f>
        <v>878.45399999999995</v>
      </c>
      <c r="I32" s="33">
        <f>SUM(I30:I31)</f>
        <v>878.45399999999995</v>
      </c>
      <c r="J32" s="150">
        <f>IF(H32&gt;0,I32/H32-1,0)</f>
        <v>0</v>
      </c>
      <c r="K32" s="131" t="str">
        <f t="shared" si="0"/>
        <v xml:space="preserve"> </v>
      </c>
    </row>
    <row r="33" spans="1:12" ht="12.75" customHeight="1" x14ac:dyDescent="0.2">
      <c r="A33" s="77"/>
      <c r="B33" s="6"/>
      <c r="C33" s="4"/>
      <c r="D33" s="120">
        <f>I11*Ceny!G19</f>
        <v>58.316800000000001</v>
      </c>
      <c r="E33" s="120">
        <f>I11*Ceny!G26</f>
        <v>48.230000000000004</v>
      </c>
      <c r="F33" s="120">
        <f>I11*Ceny!G33</f>
        <v>59.368400000000001</v>
      </c>
      <c r="G33" s="120">
        <f>I11*Ceny!G54</f>
        <v>27.34488</v>
      </c>
      <c r="H33" s="86"/>
      <c r="I33" s="34" t="s">
        <v>40</v>
      </c>
      <c r="J33" s="90">
        <f>I32-H32</f>
        <v>0</v>
      </c>
      <c r="K33" s="131"/>
    </row>
    <row r="34" spans="1:12" ht="12.75" customHeight="1" x14ac:dyDescent="0.2">
      <c r="A34" s="77"/>
      <c r="B34" s="6">
        <v>2</v>
      </c>
      <c r="C34" s="4" t="s">
        <v>34</v>
      </c>
      <c r="D34" s="120">
        <f>I20*Ceny!G20</f>
        <v>380.6</v>
      </c>
      <c r="E34" s="120">
        <f>I20*Ceny!G27</f>
        <v>405.4</v>
      </c>
      <c r="F34" s="120">
        <f>I20*Ceny!G34</f>
        <v>382.59999999999997</v>
      </c>
      <c r="G34" s="120">
        <f>I20*Ceny!G55</f>
        <v>232</v>
      </c>
      <c r="H34" s="141">
        <f>IF(F20=1,IF(E15=1,D33,IF(E15=2,E33,IF(E15=3,F33,IF(E15=4,G33,0)))),0)</f>
        <v>58.316800000000001</v>
      </c>
      <c r="I34" s="32">
        <f>IF(F20=1,IF(E15=1,D35,IF(E15=2,E35,IF(E15=3,F35,IF(E15=4,G35,0)))),0)</f>
        <v>59.198639999999997</v>
      </c>
      <c r="J34" s="149">
        <f>IF(H34&gt;0,I34/H34-1,0)</f>
        <v>1.5121543020193196E-2</v>
      </c>
      <c r="K34" s="131" t="str">
        <f t="shared" si="0"/>
        <v>þ</v>
      </c>
    </row>
    <row r="35" spans="1:12" ht="12.75" customHeight="1" x14ac:dyDescent="0.2">
      <c r="A35" s="77"/>
      <c r="B35" s="6"/>
      <c r="C35" s="59" t="s">
        <v>35</v>
      </c>
      <c r="D35" s="121">
        <f>I11*Ceny!H19</f>
        <v>59.198639999999997</v>
      </c>
      <c r="E35" s="121">
        <f>I11*Ceny!H26</f>
        <v>49.111840000000001</v>
      </c>
      <c r="F35" s="121">
        <f>I11*Ceny!H33</f>
        <v>60.250320000000002</v>
      </c>
      <c r="G35" s="121">
        <f>I11*Ceny!H54</f>
        <v>27.34488</v>
      </c>
      <c r="H35" s="91">
        <f>IF(F20=1,IF(E15=1,D34,IF(E15=2,E34,IF(E15=3,F34,IF(E15=4,G34,0)))),0)</f>
        <v>380.6</v>
      </c>
      <c r="I35" s="60">
        <f>IF(F20=1,IF(E15=1,D36,IF(E15=2,E36,IF(E15=3,F36,IF(E15=4,G36,0)))),0)</f>
        <v>386</v>
      </c>
      <c r="J35" s="151">
        <f>IF(H35&gt;0,I35/H35-1,0)</f>
        <v>1.4188124014713477E-2</v>
      </c>
      <c r="K35" s="131" t="str">
        <f>IF(H35&lt;&gt;I35,"þ"," ")</f>
        <v>þ</v>
      </c>
    </row>
    <row r="36" spans="1:12" ht="12.75" customHeight="1" x14ac:dyDescent="0.2">
      <c r="A36" s="77"/>
      <c r="B36" s="6"/>
      <c r="C36" s="12" t="s">
        <v>45</v>
      </c>
      <c r="D36" s="122">
        <f>I20*Ceny!H20</f>
        <v>386</v>
      </c>
      <c r="E36" s="122">
        <f>I20*Ceny!H27</f>
        <v>412.59999999999997</v>
      </c>
      <c r="F36" s="122">
        <f>I20*Ceny!H34</f>
        <v>388</v>
      </c>
      <c r="G36" s="122">
        <f>I20*Ceny!H55</f>
        <v>232</v>
      </c>
      <c r="H36" s="85">
        <f>SUM(H34:H35)</f>
        <v>438.91680000000002</v>
      </c>
      <c r="I36" s="33">
        <f>SUM(I34:I35)</f>
        <v>445.19864000000001</v>
      </c>
      <c r="J36" s="150">
        <f>IF(H36&gt;0,I36/H36-1,0)</f>
        <v>1.4312142984729714E-2</v>
      </c>
      <c r="K36" s="131" t="str">
        <f t="shared" si="0"/>
        <v>þ</v>
      </c>
    </row>
    <row r="37" spans="1:12" ht="12.75" customHeight="1" x14ac:dyDescent="0.2">
      <c r="A37" s="77"/>
      <c r="B37" s="27"/>
      <c r="C37" s="82"/>
      <c r="D37" s="119"/>
      <c r="E37" s="119"/>
      <c r="F37" s="119"/>
      <c r="G37" s="119"/>
      <c r="H37" s="82"/>
      <c r="I37" s="96"/>
      <c r="J37" s="97"/>
      <c r="K37" s="71"/>
    </row>
    <row r="38" spans="1:12" ht="12.75" customHeight="1" x14ac:dyDescent="0.2">
      <c r="A38" s="77"/>
      <c r="B38" s="22">
        <v>3</v>
      </c>
      <c r="C38" s="98"/>
      <c r="D38" s="119"/>
      <c r="E38" s="119"/>
      <c r="F38" s="119"/>
      <c r="G38" s="119"/>
      <c r="H38" s="99"/>
      <c r="I38" s="99"/>
      <c r="J38" s="100"/>
      <c r="K38" s="71"/>
    </row>
    <row r="39" spans="1:12" ht="12.75" customHeight="1" x14ac:dyDescent="0.2">
      <c r="A39" s="77"/>
      <c r="B39" s="27"/>
      <c r="C39" s="101"/>
      <c r="D39" s="123"/>
      <c r="E39" s="123"/>
      <c r="F39" s="123"/>
      <c r="G39" s="123"/>
      <c r="H39" s="101"/>
      <c r="I39" s="102"/>
      <c r="J39" s="103"/>
      <c r="K39" s="71"/>
    </row>
    <row r="40" spans="1:12" ht="12.75" customHeight="1" x14ac:dyDescent="0.2">
      <c r="A40" s="77"/>
      <c r="B40" s="6"/>
      <c r="C40" s="61" t="s">
        <v>62</v>
      </c>
      <c r="D40" s="124"/>
      <c r="E40" s="124"/>
      <c r="F40" s="124"/>
      <c r="G40" s="124"/>
      <c r="H40" s="84">
        <f>H32+H36+H38</f>
        <v>1317.3707999999999</v>
      </c>
      <c r="I40" s="62">
        <f>I32+I36+I38</f>
        <v>1323.65264</v>
      </c>
      <c r="J40" s="152">
        <f>IF(H40&gt;0,I40/H40-1,0)</f>
        <v>4.7684676174697405E-3</v>
      </c>
      <c r="K40" s="131" t="str">
        <f t="shared" ref="K40" si="1">IF(H40&lt;&gt;I40,"þ"," ")</f>
        <v>þ</v>
      </c>
    </row>
    <row r="41" spans="1:12" ht="12.75" customHeight="1" x14ac:dyDescent="0.2">
      <c r="A41" s="77"/>
      <c r="B41" s="6"/>
      <c r="C41" s="4"/>
      <c r="D41" s="114"/>
      <c r="E41" s="114"/>
      <c r="F41" s="114"/>
      <c r="G41" s="114"/>
      <c r="H41" s="35"/>
      <c r="I41" s="92" t="s">
        <v>40</v>
      </c>
      <c r="J41" s="36">
        <f>I40-H40</f>
        <v>6.281840000000102</v>
      </c>
      <c r="K41" s="71"/>
    </row>
    <row r="42" spans="1:12" ht="18" customHeight="1" x14ac:dyDescent="0.25">
      <c r="A42" s="77"/>
      <c r="B42" s="80" t="s">
        <v>24</v>
      </c>
      <c r="C42" s="81" t="s">
        <v>37</v>
      </c>
      <c r="D42" s="125"/>
      <c r="E42" s="114"/>
      <c r="F42" s="114"/>
      <c r="G42" s="114"/>
      <c r="H42" s="37"/>
      <c r="I42" s="82"/>
      <c r="J42" s="82"/>
      <c r="K42" s="71"/>
    </row>
    <row r="43" spans="1:12" ht="12.75" customHeight="1" x14ac:dyDescent="0.2">
      <c r="A43" s="77"/>
      <c r="B43" s="51"/>
      <c r="C43" s="87" t="str">
        <f>IF($E$15=4,"Dla grupy A5 opłaty źródła i przesyłu dotyczą MPEC-KONIN Sp. z o.o."," ")</f>
        <v xml:space="preserve"> </v>
      </c>
      <c r="D43" s="126"/>
      <c r="E43" s="126"/>
      <c r="F43" s="126"/>
      <c r="G43" s="126"/>
      <c r="H43" s="55" t="s">
        <v>60</v>
      </c>
      <c r="I43" s="57" t="s">
        <v>48</v>
      </c>
      <c r="J43" s="56" t="s">
        <v>9</v>
      </c>
      <c r="K43" s="130"/>
    </row>
    <row r="44" spans="1:12" ht="12.75" customHeight="1" x14ac:dyDescent="0.2">
      <c r="A44" s="77"/>
      <c r="B44" s="38"/>
      <c r="D44" s="113"/>
      <c r="E44" s="113"/>
      <c r="F44" s="127"/>
      <c r="G44" s="112"/>
      <c r="H44" s="115">
        <f>IF(I56&lt;&gt;0,IF(E15=4,0,I48/I56),0)</f>
        <v>0</v>
      </c>
      <c r="I44" s="115">
        <f>1-H44</f>
        <v>1</v>
      </c>
      <c r="J44" s="93"/>
      <c r="K44" s="130"/>
    </row>
    <row r="45" spans="1:12" ht="12.75" customHeight="1" x14ac:dyDescent="0.2">
      <c r="A45" s="77"/>
      <c r="B45" s="39"/>
      <c r="D45" s="120">
        <f>I11*Ceny!G10</f>
        <v>1224.64816</v>
      </c>
      <c r="E45" s="120">
        <f>I11*Ceny!G45</f>
        <v>2054.3001456000002</v>
      </c>
      <c r="F45" s="112"/>
      <c r="G45" s="112"/>
      <c r="H45" s="115">
        <f>1-H44+0.001</f>
        <v>1.0009999999999999</v>
      </c>
      <c r="I45" s="115">
        <f>1-H45</f>
        <v>-9.9999999999988987E-4</v>
      </c>
      <c r="J45" s="89"/>
      <c r="K45" s="130"/>
    </row>
    <row r="46" spans="1:12" ht="12.75" customHeight="1" x14ac:dyDescent="0.2">
      <c r="A46" s="77"/>
      <c r="B46" s="8">
        <v>1</v>
      </c>
      <c r="C46" s="4" t="s">
        <v>68</v>
      </c>
      <c r="D46" s="120">
        <f>I20*Ceny!G12</f>
        <v>776.4</v>
      </c>
      <c r="E46" s="120">
        <f>I20*Ceny!G47</f>
        <v>1169.4839999999999</v>
      </c>
      <c r="F46" s="128"/>
      <c r="G46" s="128"/>
      <c r="H46" s="141">
        <f>IF(F20=1,0,IF(E15&lt;=3,D45,E45))</f>
        <v>0</v>
      </c>
      <c r="I46" s="32">
        <f>IF(F20=1,0,IF(E15&lt;=3,D47,E47))</f>
        <v>0</v>
      </c>
      <c r="J46" s="149">
        <f>IF(H46&gt;0,I46/H46-1,0)</f>
        <v>0</v>
      </c>
      <c r="K46" s="131" t="str">
        <f>IF(H46&lt;&gt;I46,"þ"," ")</f>
        <v xml:space="preserve"> </v>
      </c>
      <c r="L46" s="2"/>
    </row>
    <row r="47" spans="1:12" ht="12.75" customHeight="1" x14ac:dyDescent="0.2">
      <c r="A47" s="77"/>
      <c r="B47" s="38"/>
      <c r="C47" s="59" t="s">
        <v>69</v>
      </c>
      <c r="D47" s="121">
        <f>I11*Ceny!H10</f>
        <v>1224.64816</v>
      </c>
      <c r="E47" s="121">
        <f>I11*Ceny!H45</f>
        <v>2054.3001456000002</v>
      </c>
      <c r="F47" s="129"/>
      <c r="G47" s="129"/>
      <c r="H47" s="91">
        <f>IF(F20=1,IF(E15&lt;=3,D46*0,E46*0),IF(E15&lt;=3,D46,E46))</f>
        <v>0</v>
      </c>
      <c r="I47" s="60">
        <f>IF(F20=1,IF(E15&lt;=3,D48*0,E48*0),IF(E15&lt;=3,D48,E48))</f>
        <v>0</v>
      </c>
      <c r="J47" s="151">
        <f>IF(H47&gt;0,I47/H47-1,0)</f>
        <v>0</v>
      </c>
      <c r="K47" s="131" t="str">
        <f t="shared" ref="K47:K52" si="2">IF(H47&lt;&gt;I47,"þ"," ")</f>
        <v xml:space="preserve"> </v>
      </c>
      <c r="L47" s="2"/>
    </row>
    <row r="48" spans="1:12" ht="12.75" customHeight="1" x14ac:dyDescent="0.2">
      <c r="A48" s="77"/>
      <c r="B48" s="38"/>
      <c r="C48" s="12" t="s">
        <v>70</v>
      </c>
      <c r="D48" s="133">
        <f>I20*Ceny!H12</f>
        <v>776.4</v>
      </c>
      <c r="E48" s="133">
        <f>I20*Ceny!H47</f>
        <v>1169.4839999999999</v>
      </c>
      <c r="F48" s="117"/>
      <c r="G48" s="117"/>
      <c r="H48" s="85">
        <f>SUM(H46:H47)</f>
        <v>0</v>
      </c>
      <c r="I48" s="33">
        <f>SUM(I46:I47)</f>
        <v>0</v>
      </c>
      <c r="J48" s="150">
        <f>IF(H48&gt;0,I48/H48-1,0)</f>
        <v>0</v>
      </c>
      <c r="K48" s="131" t="str">
        <f t="shared" si="2"/>
        <v xml:space="preserve"> </v>
      </c>
      <c r="L48" s="2"/>
    </row>
    <row r="49" spans="1:12" ht="12.75" customHeight="1" x14ac:dyDescent="0.2">
      <c r="A49" s="77"/>
      <c r="B49" s="38"/>
      <c r="C49" s="9"/>
      <c r="D49" s="120">
        <f>I11*Ceny!G18</f>
        <v>699.80096000000003</v>
      </c>
      <c r="E49" s="120">
        <f>I11*Ceny!G25</f>
        <v>578.75919999999996</v>
      </c>
      <c r="F49" s="120">
        <f>I11*Ceny!G32</f>
        <v>712.4208000000001</v>
      </c>
      <c r="G49" s="120">
        <f>I11*Ceny!G53</f>
        <v>328.1388</v>
      </c>
      <c r="H49" s="86"/>
      <c r="I49" s="34" t="s">
        <v>40</v>
      </c>
      <c r="J49" s="90">
        <f>I48-H48</f>
        <v>0</v>
      </c>
      <c r="K49" s="131"/>
      <c r="L49" s="2"/>
    </row>
    <row r="50" spans="1:12" ht="12.75" customHeight="1" x14ac:dyDescent="0.2">
      <c r="A50" s="77"/>
      <c r="B50" s="8">
        <v>2</v>
      </c>
      <c r="C50" s="9" t="s">
        <v>34</v>
      </c>
      <c r="D50" s="120">
        <f>I20*Ceny!G20</f>
        <v>380.6</v>
      </c>
      <c r="E50" s="120">
        <f>I20*Ceny!G27</f>
        <v>405.4</v>
      </c>
      <c r="F50" s="120">
        <f>I20*Ceny!G34</f>
        <v>382.59999999999997</v>
      </c>
      <c r="G50" s="120">
        <f>I20*Ceny!G55</f>
        <v>232</v>
      </c>
      <c r="H50" s="141">
        <f>IF(F20=1,0,(IF(E15=1,D49,IF(E15=2,E49,IF(E15=3,F49,IF(E15=4,G49,0))))))</f>
        <v>0</v>
      </c>
      <c r="I50" s="32">
        <f>IF(F20=1,0,IF(E15=1,D51,IF(E15=2,E51,IF(E15=3,F51,IF(E15=4,G51,0)))))</f>
        <v>0</v>
      </c>
      <c r="J50" s="149">
        <f>IF(H50&gt;0,I50/H50-1,0)</f>
        <v>0</v>
      </c>
      <c r="K50" s="131" t="str">
        <f t="shared" si="2"/>
        <v xml:space="preserve"> </v>
      </c>
      <c r="L50" s="2"/>
    </row>
    <row r="51" spans="1:12" ht="12.75" customHeight="1" x14ac:dyDescent="0.2">
      <c r="A51" s="77"/>
      <c r="B51" s="38"/>
      <c r="C51" s="63" t="s">
        <v>35</v>
      </c>
      <c r="D51" s="121">
        <f>I11*Ceny!H18</f>
        <v>710.38368000000003</v>
      </c>
      <c r="E51" s="121">
        <f>I11*Ceny!H25</f>
        <v>589.34192000000007</v>
      </c>
      <c r="F51" s="121">
        <f>I11*Ceny!H32</f>
        <v>723.00351999999998</v>
      </c>
      <c r="G51" s="121">
        <f>I11*Ceny!H53</f>
        <v>328.1388</v>
      </c>
      <c r="H51" s="91">
        <f>IF(F20=2,IF(E15=1,D50,IF(E15=2,E50,IF(E15=3,F50,IF(E15=4,G50,0)))),H35*0)</f>
        <v>0</v>
      </c>
      <c r="I51" s="60">
        <f>IF(F20=2,IF(E15=1,D52,IF(E15=2,E52,IF(E15=3,F52,IF(E15=4,G52,0)))),I35*0)</f>
        <v>0</v>
      </c>
      <c r="J51" s="151">
        <f>IF(H51&gt;0,I51/H51-1,0)</f>
        <v>0</v>
      </c>
      <c r="K51" s="131" t="str">
        <f>IF(H51&lt;&gt;I51,"þ"," ")</f>
        <v xml:space="preserve"> </v>
      </c>
      <c r="L51" s="2"/>
    </row>
    <row r="52" spans="1:12" ht="12.75" customHeight="1" x14ac:dyDescent="0.2">
      <c r="A52" s="77"/>
      <c r="B52" s="38"/>
      <c r="C52" s="12" t="s">
        <v>45</v>
      </c>
      <c r="D52" s="122">
        <f>I20*Ceny!H20</f>
        <v>386</v>
      </c>
      <c r="E52" s="122">
        <f>I20*Ceny!H27</f>
        <v>412.59999999999997</v>
      </c>
      <c r="F52" s="122">
        <f>I20*Ceny!H34</f>
        <v>388</v>
      </c>
      <c r="G52" s="122">
        <f>I20*Ceny!H55</f>
        <v>232</v>
      </c>
      <c r="H52" s="85">
        <f>SUM(H50:H51)</f>
        <v>0</v>
      </c>
      <c r="I52" s="33">
        <f>SUM(I50:I51)</f>
        <v>0</v>
      </c>
      <c r="J52" s="150">
        <f>IF(H52&gt;0,I52/H52-1,0)</f>
        <v>0</v>
      </c>
      <c r="K52" s="131" t="str">
        <f t="shared" si="2"/>
        <v xml:space="preserve"> </v>
      </c>
      <c r="L52" s="2"/>
    </row>
    <row r="53" spans="1:12" ht="12.75" customHeight="1" x14ac:dyDescent="0.2">
      <c r="A53" s="77"/>
      <c r="B53" s="38"/>
      <c r="C53" s="39"/>
      <c r="D53" s="17"/>
      <c r="E53" s="17"/>
      <c r="F53" s="17"/>
      <c r="G53" s="17"/>
      <c r="H53" s="82"/>
      <c r="I53" s="96"/>
      <c r="J53" s="97"/>
      <c r="K53" s="73"/>
      <c r="L53" s="2"/>
    </row>
    <row r="54" spans="1:12" ht="12.75" customHeight="1" x14ac:dyDescent="0.2">
      <c r="A54" s="77"/>
      <c r="B54" s="40">
        <v>3</v>
      </c>
      <c r="C54" s="41"/>
      <c r="D54" s="17"/>
      <c r="E54" s="17"/>
      <c r="F54" s="17"/>
      <c r="G54" s="17"/>
      <c r="H54" s="99"/>
      <c r="I54" s="99"/>
      <c r="J54" s="100"/>
      <c r="K54" s="73"/>
      <c r="L54" s="2"/>
    </row>
    <row r="55" spans="1:12" ht="12.75" customHeight="1" x14ac:dyDescent="0.2">
      <c r="A55" s="77"/>
      <c r="B55" s="38"/>
      <c r="C55" s="64"/>
      <c r="D55" s="111"/>
      <c r="E55" s="111"/>
      <c r="F55" s="111"/>
      <c r="G55" s="111"/>
      <c r="H55" s="101"/>
      <c r="I55" s="102"/>
      <c r="J55" s="103"/>
      <c r="K55" s="73"/>
      <c r="L55" s="2"/>
    </row>
    <row r="56" spans="1:12" ht="12.75" customHeight="1" x14ac:dyDescent="0.2">
      <c r="A56" s="77"/>
      <c r="B56" s="6"/>
      <c r="C56" s="61" t="s">
        <v>61</v>
      </c>
      <c r="D56" s="59"/>
      <c r="E56" s="59"/>
      <c r="F56" s="59"/>
      <c r="G56" s="59"/>
      <c r="H56" s="84">
        <f>H48+H52+H54</f>
        <v>0</v>
      </c>
      <c r="I56" s="62">
        <f>I48+I52+I54</f>
        <v>0</v>
      </c>
      <c r="J56" s="152">
        <f>IF(H56&gt;0,I56/H56-1,0)</f>
        <v>0</v>
      </c>
      <c r="K56" s="131" t="str">
        <f t="shared" ref="K56" si="3">IF(H56&lt;&gt;I56,"þ"," ")</f>
        <v xml:space="preserve"> </v>
      </c>
      <c r="L56" s="2"/>
    </row>
    <row r="57" spans="1:12" ht="12.75" customHeight="1" x14ac:dyDescent="0.2">
      <c r="A57" s="77"/>
      <c r="B57" s="4"/>
      <c r="C57" s="4"/>
      <c r="D57" s="4"/>
      <c r="E57" s="4"/>
      <c r="F57" s="4"/>
      <c r="G57" s="4"/>
      <c r="H57" s="35"/>
      <c r="I57" s="92" t="s">
        <v>40</v>
      </c>
      <c r="J57" s="36">
        <f>I56-H56</f>
        <v>0</v>
      </c>
      <c r="K57" s="72"/>
      <c r="L57" s="2"/>
    </row>
    <row r="58" spans="1:12" ht="12.75" customHeight="1" thickBot="1" x14ac:dyDescent="0.25">
      <c r="A58" s="79"/>
      <c r="B58" s="68"/>
      <c r="C58" s="69"/>
      <c r="D58" s="69"/>
      <c r="E58" s="69"/>
      <c r="F58" s="69"/>
      <c r="G58" s="69"/>
      <c r="H58" s="69"/>
      <c r="I58" s="69"/>
      <c r="J58" s="69"/>
      <c r="K58" s="74"/>
    </row>
    <row r="59" spans="1:12" ht="13.5" thickTop="1" x14ac:dyDescent="0.2">
      <c r="A59" s="42"/>
      <c r="B59" s="43"/>
      <c r="C59" s="42"/>
      <c r="D59" s="42"/>
      <c r="E59" s="42"/>
      <c r="F59" s="42"/>
      <c r="G59" s="42"/>
      <c r="H59" s="42"/>
      <c r="I59" s="42"/>
      <c r="J59" s="42"/>
      <c r="K59" s="42"/>
    </row>
  </sheetData>
  <sheetProtection selectLockedCells="1" selectUnlockedCells="1"/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Spinner 2">
              <controlPr defaultSize="0" autoPict="0">
                <anchor moveWithCells="1" sizeWithCells="1">
                  <from>
                    <xdr:col>5</xdr:col>
                    <xdr:colOff>9525</xdr:colOff>
                    <xdr:row>9</xdr:row>
                    <xdr:rowOff>47625</xdr:rowOff>
                  </from>
                  <to>
                    <xdr:col>5</xdr:col>
                    <xdr:colOff>133350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Spinner 3">
              <controlPr defaultSize="0" autoPict="0">
                <anchor moveWithCells="1" sizeWithCells="1">
                  <from>
                    <xdr:col>5</xdr:col>
                    <xdr:colOff>9525</xdr:colOff>
                    <xdr:row>18</xdr:row>
                    <xdr:rowOff>47625</xdr:rowOff>
                  </from>
                  <to>
                    <xdr:col>5</xdr:col>
                    <xdr:colOff>133350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Option Button 4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12</xdr:row>
                    <xdr:rowOff>95250</xdr:rowOff>
                  </from>
                  <to>
                    <xdr:col>5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Option Button 6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13</xdr:row>
                    <xdr:rowOff>123825</xdr:rowOff>
                  </from>
                  <to>
                    <xdr:col>5</xdr:col>
                    <xdr:colOff>323850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Option Button 7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323850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Group Box 14">
              <controlPr defaultSize="0" autoFill="0" autoPict="0">
                <anchor moveWithCells="1">
                  <from>
                    <xdr:col>3</xdr:col>
                    <xdr:colOff>371475</xdr:colOff>
                    <xdr:row>12</xdr:row>
                    <xdr:rowOff>47625</xdr:rowOff>
                  </from>
                  <to>
                    <xdr:col>10</xdr:col>
                    <xdr:colOff>219075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Group Box 15">
              <controlPr defaultSize="0" autoFill="0" autoPict="0">
                <anchor moveWithCells="1">
                  <from>
                    <xdr:col>5</xdr:col>
                    <xdr:colOff>381000</xdr:colOff>
                    <xdr:row>18</xdr:row>
                    <xdr:rowOff>57150</xdr:rowOff>
                  </from>
                  <to>
                    <xdr:col>7</xdr:col>
                    <xdr:colOff>438150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1" name="Option Button 26">
              <controlPr defaultSize="0" autoFill="0" autoLine="0" autoPict="0" altText="Grupa A5">
                <anchor moveWithCells="1" sizeWithCells="1">
                  <from>
                    <xdr:col>4</xdr:col>
                    <xdr:colOff>0</xdr:colOff>
                    <xdr:row>16</xdr:row>
                    <xdr:rowOff>38100</xdr:rowOff>
                  </from>
                  <to>
                    <xdr:col>5</xdr:col>
                    <xdr:colOff>323850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Option Button 1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18</xdr:row>
                    <xdr:rowOff>104775</xdr:rowOff>
                  </from>
                  <to>
                    <xdr:col>7</xdr:col>
                    <xdr:colOff>285750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Option Button 1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19</xdr:row>
                    <xdr:rowOff>133350</xdr:rowOff>
                  </from>
                  <to>
                    <xdr:col>7</xdr:col>
                    <xdr:colOff>285750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Amsel</cp:lastModifiedBy>
  <cp:lastPrinted>2010-07-02T08:33:22Z</cp:lastPrinted>
  <dcterms:created xsi:type="dcterms:W3CDTF">2004-06-09T05:45:51Z</dcterms:created>
  <dcterms:modified xsi:type="dcterms:W3CDTF">2021-08-20T11:26:53Z</dcterms:modified>
</cp:coreProperties>
</file>